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384" windowWidth="11388" windowHeight="6024"/>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Нераспределенная  субсидия" sheetId="8" r:id="rId11"/>
    <sheet name="Нераспределенные  иные  МБТ" sheetId="11" r:id="rId12"/>
    <sheet name="субсидия  ВР 522" sheetId="16" r:id="rId13"/>
    <sheet name="Федеральная  субсидия" sheetId="18" r:id="rId14"/>
  </sheets>
  <externalReferences>
    <externalReference r:id="rId15"/>
    <externalReference r:id="rId16"/>
    <externalReference r:id="rId17"/>
  </externalReferences>
  <definedNames>
    <definedName name="_xlnm.Print_Titles" localSheetId="10">'Нераспределенная  субсидия'!$7:$7</definedName>
    <definedName name="_xlnm.Print_Titles" localSheetId="11">'Нераспределенные  иные  МБТ'!$7:$7</definedName>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2">'субсидия  ВР 522'!$5:$5</definedName>
    <definedName name="_xlnm.Print_Titles" localSheetId="13">'Федеральная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0">'Нераспределенная  субсидия'!$A$1:$G$514</definedName>
    <definedName name="_xlnm.Print_Area" localSheetId="11">'Нераспределенные  иные  МБТ'!$A$1:$G$47</definedName>
    <definedName name="_xlnm.Print_Area" localSheetId="0">'Проверочная  таблица'!$A$1:$WF$39</definedName>
    <definedName name="_xlnm.Print_Area" localSheetId="2">'Прочая  субсидия_БП'!$A$1:$DE$26</definedName>
    <definedName name="_xlnm.Print_Area" localSheetId="1">'Прочая  субсидия_МР  и  ГО'!$A$1:$BM$38</definedName>
    <definedName name="_xlnm.Print_Area" localSheetId="4">'Район  и  поселения'!$A$1:$BI$38</definedName>
    <definedName name="_xlnm.Print_Area" localSheetId="3">'Субвенция  на  полномочия'!$A$1:$AM$32</definedName>
    <definedName name="_xlnm.Print_Area" localSheetId="13">'Федеральная  субсидия'!$A$1:$HS$40</definedName>
    <definedName name="_xlnm.Print_Area" localSheetId="5">'Федеральные  средства  по  МО'!$A$1:$CQ$39</definedName>
  </definedNames>
  <calcPr calcId="145621"/>
</workbook>
</file>

<file path=xl/calcChain.xml><?xml version="1.0" encoding="utf-8"?>
<calcChain xmlns="http://schemas.openxmlformats.org/spreadsheetml/2006/main">
  <c r="BU10" i="4" l="1"/>
  <c r="IH13" i="2"/>
  <c r="IH22" i="2"/>
  <c r="IH18" i="2"/>
  <c r="GF17" i="2"/>
  <c r="U25" i="4"/>
  <c r="U22" i="4"/>
  <c r="U20" i="4"/>
  <c r="U16" i="4"/>
  <c r="U15" i="4"/>
  <c r="U13" i="4"/>
  <c r="U12" i="4"/>
  <c r="U9" i="4"/>
  <c r="U8" i="4"/>
  <c r="AA29" i="3"/>
  <c r="AA24" i="3"/>
  <c r="U24" i="4" s="1"/>
  <c r="AA23" i="3"/>
  <c r="U23" i="4" s="1"/>
  <c r="AA11" i="3"/>
  <c r="U11" i="4" s="1"/>
  <c r="AA10" i="3"/>
  <c r="U10" i="4" s="1"/>
  <c r="AS33" i="2"/>
  <c r="AS22" i="2"/>
  <c r="U18" i="4" s="1"/>
  <c r="FT24" i="2" l="1"/>
  <c r="FT33" i="2"/>
  <c r="MD22" i="2"/>
  <c r="LR32" i="2"/>
  <c r="MD13" i="2"/>
  <c r="LR33" i="2"/>
  <c r="MB13" i="2"/>
  <c r="MB29" i="2"/>
  <c r="MB22" i="2"/>
  <c r="LP33" i="2"/>
  <c r="LP32" i="2"/>
  <c r="PF28" i="2" l="1"/>
  <c r="PF26" i="2"/>
  <c r="PF17" i="2"/>
  <c r="KF27" i="2"/>
  <c r="KF33" i="2"/>
  <c r="NH18" i="2"/>
  <c r="NH17" i="2"/>
  <c r="NH14" i="2"/>
  <c r="AS21" i="4" l="1"/>
  <c r="AS20" i="4"/>
  <c r="AS19" i="4"/>
  <c r="AS18" i="4"/>
  <c r="AS17" i="4"/>
  <c r="AS15" i="4"/>
  <c r="AS13" i="4"/>
  <c r="AS10" i="4"/>
  <c r="AS9" i="4"/>
  <c r="BG26" i="3"/>
  <c r="BG30" i="3"/>
  <c r="E14" i="8"/>
  <c r="SJ26" i="2" l="1"/>
  <c r="SJ33" i="2"/>
  <c r="SN33" i="2"/>
  <c r="D15" i="11" l="1"/>
  <c r="WA27" i="2"/>
  <c r="D380" i="8" l="1"/>
  <c r="D377" i="8"/>
  <c r="J21" i="8" l="1"/>
  <c r="F25" i="8"/>
  <c r="F26" i="8" s="1"/>
  <c r="E25" i="8"/>
  <c r="E26" i="8" s="1"/>
  <c r="D25" i="8"/>
  <c r="H24" i="8"/>
  <c r="G24" i="8"/>
  <c r="I24" i="8" s="1"/>
  <c r="F22" i="8"/>
  <c r="F23" i="8" s="1"/>
  <c r="E22" i="8"/>
  <c r="E23" i="8" s="1"/>
  <c r="H21" i="8"/>
  <c r="D22" i="8"/>
  <c r="K100" i="8"/>
  <c r="GL13" i="2"/>
  <c r="H26" i="8" l="1"/>
  <c r="G25" i="8"/>
  <c r="I25" i="8" s="1"/>
  <c r="D26" i="8"/>
  <c r="H25" i="8"/>
  <c r="G22" i="8"/>
  <c r="I22" i="8" s="1"/>
  <c r="H22" i="8"/>
  <c r="H23" i="8"/>
  <c r="D23" i="8"/>
  <c r="G23" i="8" s="1"/>
  <c r="I23" i="8" s="1"/>
  <c r="G21" i="8"/>
  <c r="I21" i="8" s="1"/>
  <c r="AA28" i="3"/>
  <c r="G26" i="8" l="1"/>
  <c r="I26" i="8" s="1"/>
  <c r="AS25" i="4" l="1"/>
  <c r="AS22" i="4"/>
  <c r="AS14" i="4"/>
  <c r="AS11" i="4"/>
  <c r="O26" i="3"/>
  <c r="FA33" i="2"/>
  <c r="EZ33" i="2"/>
  <c r="FA32" i="2"/>
  <c r="EZ32" i="2"/>
  <c r="EZ13" i="2"/>
  <c r="FA13" i="2"/>
  <c r="N12" i="6" s="1"/>
  <c r="EZ14" i="2"/>
  <c r="FA14" i="2"/>
  <c r="N13" i="6" s="1"/>
  <c r="EZ15" i="2"/>
  <c r="FA15" i="2"/>
  <c r="EZ16" i="2"/>
  <c r="FA16" i="2"/>
  <c r="N15" i="6" s="1"/>
  <c r="EZ17" i="2"/>
  <c r="FA17" i="2"/>
  <c r="N16" i="6" s="1"/>
  <c r="EZ18" i="2"/>
  <c r="FA18" i="2"/>
  <c r="N17" i="6" s="1"/>
  <c r="EZ19" i="2"/>
  <c r="FA19" i="2"/>
  <c r="N18" i="6" s="1"/>
  <c r="EZ20" i="2"/>
  <c r="FA20" i="2"/>
  <c r="N19" i="6" s="1"/>
  <c r="EZ21" i="2"/>
  <c r="FA21" i="2"/>
  <c r="EZ22" i="2"/>
  <c r="FA22" i="2"/>
  <c r="N21" i="6" s="1"/>
  <c r="EZ23" i="2"/>
  <c r="FA23" i="2"/>
  <c r="EZ24" i="2"/>
  <c r="FA24" i="2"/>
  <c r="N23" i="6" s="1"/>
  <c r="EZ25" i="2"/>
  <c r="FA25" i="2"/>
  <c r="N24" i="6" s="1"/>
  <c r="EZ26" i="2"/>
  <c r="FA26" i="2"/>
  <c r="N25" i="6" s="1"/>
  <c r="EZ27" i="2"/>
  <c r="FA27" i="2"/>
  <c r="EZ28" i="2"/>
  <c r="FA28" i="2"/>
  <c r="N27" i="6" s="1"/>
  <c r="EZ29" i="2"/>
  <c r="FA29" i="2"/>
  <c r="N28" i="6" s="1"/>
  <c r="FA12" i="2"/>
  <c r="EZ12" i="2"/>
  <c r="O32" i="6"/>
  <c r="O31" i="6"/>
  <c r="O12" i="6"/>
  <c r="O13" i="6"/>
  <c r="O14" i="6"/>
  <c r="O15" i="6"/>
  <c r="O16" i="6"/>
  <c r="O17" i="6"/>
  <c r="O18" i="6"/>
  <c r="O19" i="6"/>
  <c r="O20" i="6"/>
  <c r="O21" i="6"/>
  <c r="O22" i="6"/>
  <c r="O23" i="6"/>
  <c r="O24" i="6"/>
  <c r="O25" i="6"/>
  <c r="O26" i="6"/>
  <c r="O27" i="6"/>
  <c r="O28" i="6"/>
  <c r="O11" i="6"/>
  <c r="FC40" i="2"/>
  <c r="FD34" i="2"/>
  <c r="FC34" i="2"/>
  <c r="FB33" i="2"/>
  <c r="N32" i="6"/>
  <c r="FB32" i="2"/>
  <c r="FD30" i="2"/>
  <c r="FC30" i="2"/>
  <c r="FB29" i="2"/>
  <c r="FB28" i="2"/>
  <c r="FB27" i="2"/>
  <c r="FB26" i="2"/>
  <c r="FB25" i="2"/>
  <c r="FB24" i="2"/>
  <c r="FB23" i="2"/>
  <c r="FB22" i="2"/>
  <c r="FB21" i="2"/>
  <c r="FB20" i="2"/>
  <c r="FB19" i="2"/>
  <c r="FB18" i="2"/>
  <c r="FB17" i="2"/>
  <c r="FB16" i="2"/>
  <c r="FB15" i="2"/>
  <c r="FB14" i="2"/>
  <c r="FB13" i="2"/>
  <c r="FB12" i="2"/>
  <c r="FB34" i="2" l="1"/>
  <c r="EY27" i="2"/>
  <c r="EY23" i="2"/>
  <c r="EY15" i="2"/>
  <c r="EY19" i="2"/>
  <c r="FC37" i="2"/>
  <c r="FC42" i="2" s="1"/>
  <c r="FB30" i="2"/>
  <c r="FB37" i="2" s="1"/>
  <c r="EY18" i="2"/>
  <c r="EY14" i="2"/>
  <c r="FA34" i="2"/>
  <c r="FD37" i="2"/>
  <c r="FA30" i="2"/>
  <c r="N14" i="6"/>
  <c r="N26" i="6"/>
  <c r="N22" i="6"/>
  <c r="N20" i="6"/>
  <c r="EY22" i="2"/>
  <c r="EY26" i="2"/>
  <c r="EY12" i="2"/>
  <c r="EY16" i="2"/>
  <c r="EY20" i="2"/>
  <c r="EY24" i="2"/>
  <c r="EY28" i="2"/>
  <c r="EY32" i="2"/>
  <c r="EY13" i="2"/>
  <c r="EY17" i="2"/>
  <c r="EY21" i="2"/>
  <c r="EY25" i="2"/>
  <c r="EY29" i="2"/>
  <c r="EY33" i="2"/>
  <c r="N11" i="6"/>
  <c r="N31" i="6"/>
  <c r="N33" i="6" s="1"/>
  <c r="EZ34" i="2"/>
  <c r="EZ30" i="2"/>
  <c r="D230" i="8"/>
  <c r="E174" i="8"/>
  <c r="F174" i="8"/>
  <c r="D174" i="8"/>
  <c r="D186" i="8"/>
  <c r="H185" i="8"/>
  <c r="G185" i="8"/>
  <c r="I185" i="8" s="1"/>
  <c r="D183" i="8"/>
  <c r="H182" i="8"/>
  <c r="G182" i="8"/>
  <c r="I182" i="8" s="1"/>
  <c r="J181" i="8"/>
  <c r="D178" i="8"/>
  <c r="C10" i="16" l="1"/>
  <c r="FC38" i="2"/>
  <c r="F181" i="8" s="1"/>
  <c r="F183" i="8" s="1"/>
  <c r="FD42" i="2"/>
  <c r="FD38" i="2"/>
  <c r="FA37" i="2"/>
  <c r="FA38" i="2" s="1"/>
  <c r="B24" i="7" s="1"/>
  <c r="N29" i="6"/>
  <c r="N36" i="6" s="1"/>
  <c r="EY34" i="2"/>
  <c r="EZ37" i="2"/>
  <c r="EZ38" i="2" s="1"/>
  <c r="E181" i="8" s="1"/>
  <c r="EY30" i="2"/>
  <c r="TX30" i="2"/>
  <c r="TX34" i="2"/>
  <c r="TM40" i="2"/>
  <c r="TK40" i="2"/>
  <c r="E184" i="8" l="1"/>
  <c r="C24" i="7"/>
  <c r="F184" i="8"/>
  <c r="F186" i="8" s="1"/>
  <c r="E10" i="16" s="1"/>
  <c r="TX37" i="2"/>
  <c r="EY37" i="2"/>
  <c r="WA20" i="2"/>
  <c r="D79" i="8" l="1"/>
  <c r="C8" i="9" l="1"/>
  <c r="D18" i="8" l="1"/>
  <c r="D8" i="8" s="1"/>
  <c r="D119" i="8"/>
  <c r="D113" i="8"/>
  <c r="D91" i="8"/>
  <c r="D88" i="8"/>
  <c r="D85" i="8"/>
  <c r="D247" i="8"/>
  <c r="D244" i="8"/>
  <c r="D196" i="8"/>
  <c r="D173" i="8" s="1"/>
  <c r="D457" i="8"/>
  <c r="D152" i="8"/>
  <c r="D454" i="8"/>
  <c r="G16" i="11" l="1"/>
  <c r="H16" i="11"/>
  <c r="I16" i="11"/>
  <c r="J16" i="11"/>
  <c r="D19" i="11"/>
  <c r="AA32" i="6"/>
  <c r="AA31" i="6"/>
  <c r="AA12" i="6"/>
  <c r="AA13" i="6"/>
  <c r="AA14" i="6"/>
  <c r="AA15" i="6"/>
  <c r="AA16" i="6"/>
  <c r="AA17" i="6"/>
  <c r="AA18" i="6"/>
  <c r="AA19" i="6"/>
  <c r="AA20" i="6"/>
  <c r="AA21" i="6"/>
  <c r="AA22" i="6"/>
  <c r="AA23" i="6"/>
  <c r="AA24" i="6"/>
  <c r="AA25" i="6"/>
  <c r="AA26" i="6"/>
  <c r="AA27" i="6"/>
  <c r="AA28" i="6"/>
  <c r="AA11" i="6"/>
  <c r="HA33" i="2"/>
  <c r="Z32" i="6" s="1"/>
  <c r="GZ33" i="2"/>
  <c r="HA32" i="2"/>
  <c r="Z31" i="6" s="1"/>
  <c r="GZ32" i="2"/>
  <c r="GZ13" i="2"/>
  <c r="HA13" i="2"/>
  <c r="Z12" i="6" s="1"/>
  <c r="GZ14" i="2"/>
  <c r="HA14" i="2"/>
  <c r="Z13" i="6" s="1"/>
  <c r="GZ15" i="2"/>
  <c r="HA15" i="2"/>
  <c r="Z14" i="6" s="1"/>
  <c r="GZ16" i="2"/>
  <c r="HA16" i="2"/>
  <c r="Z15" i="6" s="1"/>
  <c r="GZ17" i="2"/>
  <c r="HA17" i="2"/>
  <c r="Z16" i="6" s="1"/>
  <c r="GZ18" i="2"/>
  <c r="HA18" i="2"/>
  <c r="Z17" i="6" s="1"/>
  <c r="GZ19" i="2"/>
  <c r="HA19" i="2"/>
  <c r="Z18" i="6" s="1"/>
  <c r="GZ20" i="2"/>
  <c r="HA20" i="2"/>
  <c r="Z19" i="6" s="1"/>
  <c r="GZ21" i="2"/>
  <c r="HA21" i="2"/>
  <c r="Z20" i="6" s="1"/>
  <c r="GZ22" i="2"/>
  <c r="HA22" i="2"/>
  <c r="Z21" i="6" s="1"/>
  <c r="GZ23" i="2"/>
  <c r="HA23" i="2"/>
  <c r="Z22" i="6" s="1"/>
  <c r="GZ24" i="2"/>
  <c r="HA24" i="2"/>
  <c r="Z23" i="6" s="1"/>
  <c r="GZ25" i="2"/>
  <c r="HA25" i="2"/>
  <c r="Z24" i="6" s="1"/>
  <c r="GZ26" i="2"/>
  <c r="HA26" i="2"/>
  <c r="Z25" i="6" s="1"/>
  <c r="GZ27" i="2"/>
  <c r="HA27" i="2"/>
  <c r="Z26" i="6" s="1"/>
  <c r="GZ28" i="2"/>
  <c r="HA28" i="2"/>
  <c r="Z27" i="6" s="1"/>
  <c r="GZ29" i="2"/>
  <c r="HA29" i="2"/>
  <c r="Z28" i="6" s="1"/>
  <c r="HA12" i="2"/>
  <c r="Z11" i="6" s="1"/>
  <c r="GZ12" i="2"/>
  <c r="HB60" i="2"/>
  <c r="HB59" i="2"/>
  <c r="HB58" i="2"/>
  <c r="HB56" i="2"/>
  <c r="GY60" i="2"/>
  <c r="GY59" i="2"/>
  <c r="GY58" i="2"/>
  <c r="GY56" i="2"/>
  <c r="HC61" i="2"/>
  <c r="HB61" i="2" s="1"/>
  <c r="GZ61" i="2"/>
  <c r="GY61" i="2" s="1"/>
  <c r="HB33" i="2"/>
  <c r="HB32" i="2"/>
  <c r="HD34" i="2"/>
  <c r="HC34" i="2"/>
  <c r="HD30" i="2"/>
  <c r="HC30" i="2"/>
  <c r="HD37" i="2" l="1"/>
  <c r="C12" i="7" s="1"/>
  <c r="AA33" i="6"/>
  <c r="GY32" i="2"/>
  <c r="HC54" i="2"/>
  <c r="HB54" i="2" s="1"/>
  <c r="HC55" i="2"/>
  <c r="HB55" i="2" s="1"/>
  <c r="AA29" i="6"/>
  <c r="AA36" i="6" s="1"/>
  <c r="GZ30" i="2"/>
  <c r="Z33" i="6"/>
  <c r="Z29" i="6"/>
  <c r="HA30" i="2"/>
  <c r="HA34" i="2"/>
  <c r="GZ34" i="2"/>
  <c r="GY33" i="2"/>
  <c r="HC37" i="2"/>
  <c r="HC53" i="2" s="1"/>
  <c r="HC57" i="2" l="1"/>
  <c r="HB57" i="2" s="1"/>
  <c r="HB53" i="2"/>
  <c r="Z36" i="6"/>
  <c r="GZ37" i="2"/>
  <c r="GZ55" i="2"/>
  <c r="GY55" i="2" s="1"/>
  <c r="HA37" i="2"/>
  <c r="B12" i="7" s="1"/>
  <c r="GZ54" i="2"/>
  <c r="GY54" i="2" s="1"/>
  <c r="GZ53" i="2" l="1"/>
  <c r="GY53" i="2" s="1"/>
  <c r="HB34" i="2"/>
  <c r="HB29" i="2"/>
  <c r="HB28" i="2"/>
  <c r="HB27" i="2"/>
  <c r="HB26" i="2"/>
  <c r="HB25" i="2"/>
  <c r="HB24" i="2"/>
  <c r="HB23" i="2"/>
  <c r="HB22" i="2"/>
  <c r="HB21" i="2"/>
  <c r="HB20" i="2"/>
  <c r="HB19" i="2"/>
  <c r="HB18" i="2"/>
  <c r="HB17" i="2"/>
  <c r="HB16" i="2"/>
  <c r="HB15" i="2"/>
  <c r="HB14" i="2"/>
  <c r="HB13" i="2"/>
  <c r="HB12" i="2"/>
  <c r="GY34" i="2"/>
  <c r="GY29" i="2"/>
  <c r="GY28" i="2"/>
  <c r="GY27" i="2"/>
  <c r="GY26" i="2"/>
  <c r="GY25" i="2"/>
  <c r="GY24" i="2"/>
  <c r="GY23" i="2"/>
  <c r="GY22" i="2"/>
  <c r="GY21" i="2"/>
  <c r="GY20" i="2"/>
  <c r="GY19" i="2"/>
  <c r="GY18" i="2"/>
  <c r="GY17" i="2"/>
  <c r="GY16" i="2"/>
  <c r="GY15" i="2"/>
  <c r="GY14" i="2"/>
  <c r="GY13" i="2"/>
  <c r="GY12" i="2"/>
  <c r="GZ57" i="2" l="1"/>
  <c r="GY57" i="2" s="1"/>
  <c r="HB30" i="2"/>
  <c r="HB37" i="2" s="1"/>
  <c r="GY30" i="2"/>
  <c r="GY37" i="2" s="1"/>
  <c r="CM9" i="4" l="1"/>
  <c r="CM11" i="4"/>
  <c r="CM12" i="4"/>
  <c r="CM13" i="4"/>
  <c r="CM14" i="4"/>
  <c r="CM16" i="4"/>
  <c r="CM17" i="4"/>
  <c r="CM18" i="4"/>
  <c r="CM19" i="4"/>
  <c r="CM20" i="4"/>
  <c r="CM21" i="4"/>
  <c r="CM22" i="4"/>
  <c r="CM23" i="4"/>
  <c r="CM24" i="4"/>
  <c r="CM25" i="4"/>
  <c r="CM8" i="4"/>
  <c r="VY29" i="2" l="1"/>
  <c r="WA23" i="2"/>
  <c r="WA22" i="2"/>
  <c r="WE22" i="2"/>
  <c r="D35" i="11" l="1"/>
  <c r="D30" i="11" l="1"/>
  <c r="D82" i="8" l="1"/>
  <c r="D43" i="11" l="1"/>
  <c r="J25" i="11"/>
  <c r="CI32" i="6"/>
  <c r="CI31" i="6"/>
  <c r="CI12" i="6"/>
  <c r="CI13" i="6"/>
  <c r="CI14" i="6"/>
  <c r="CI15" i="6"/>
  <c r="CI16" i="6"/>
  <c r="CI17" i="6"/>
  <c r="CI18" i="6"/>
  <c r="CI19" i="6"/>
  <c r="CI20" i="6"/>
  <c r="CI21" i="6"/>
  <c r="CI22" i="6"/>
  <c r="CI23" i="6"/>
  <c r="CI24" i="6"/>
  <c r="CI25" i="6"/>
  <c r="CI26" i="6"/>
  <c r="CI27" i="6"/>
  <c r="CI28" i="6"/>
  <c r="CI11" i="6"/>
  <c r="TN34" i="2"/>
  <c r="TM34" i="2"/>
  <c r="TN30" i="2"/>
  <c r="TM30" i="2"/>
  <c r="TE33" i="2"/>
  <c r="CH32" i="6" s="1"/>
  <c r="TD33" i="2"/>
  <c r="TE32" i="2"/>
  <c r="TD32" i="2"/>
  <c r="TD13" i="2"/>
  <c r="TE13" i="2"/>
  <c r="CH12" i="6" s="1"/>
  <c r="TD14" i="2"/>
  <c r="TE14" i="2"/>
  <c r="TD15" i="2"/>
  <c r="TE15" i="2"/>
  <c r="CH14" i="6" s="1"/>
  <c r="TD16" i="2"/>
  <c r="TE16" i="2"/>
  <c r="CH15" i="6" s="1"/>
  <c r="TD17" i="2"/>
  <c r="TE17" i="2"/>
  <c r="CH16" i="6" s="1"/>
  <c r="TD18" i="2"/>
  <c r="TE18" i="2"/>
  <c r="CH17" i="6" s="1"/>
  <c r="TD19" i="2"/>
  <c r="TE19" i="2"/>
  <c r="CH18" i="6" s="1"/>
  <c r="TD20" i="2"/>
  <c r="TE20" i="2"/>
  <c r="CH19" i="6" s="1"/>
  <c r="TD21" i="2"/>
  <c r="TE21" i="2"/>
  <c r="CH20" i="6" s="1"/>
  <c r="TD22" i="2"/>
  <c r="TE22" i="2"/>
  <c r="CH21" i="6" s="1"/>
  <c r="TD23" i="2"/>
  <c r="TE23" i="2"/>
  <c r="CH22" i="6" s="1"/>
  <c r="TD24" i="2"/>
  <c r="TE24" i="2"/>
  <c r="CH23" i="6" s="1"/>
  <c r="TD25" i="2"/>
  <c r="TE25" i="2"/>
  <c r="CH24" i="6" s="1"/>
  <c r="TD26" i="2"/>
  <c r="TE26" i="2"/>
  <c r="CH25" i="6" s="1"/>
  <c r="TD27" i="2"/>
  <c r="TE27" i="2"/>
  <c r="CH26" i="6" s="1"/>
  <c r="TD28" i="2"/>
  <c r="TE28" i="2"/>
  <c r="CH27" i="6" s="1"/>
  <c r="TD29" i="2"/>
  <c r="TE29" i="2"/>
  <c r="CH28" i="6" s="1"/>
  <c r="TE12" i="2"/>
  <c r="CH11" i="6" s="1"/>
  <c r="TD12" i="2"/>
  <c r="TN37" i="2" l="1"/>
  <c r="TN42" i="2" s="1"/>
  <c r="TM37" i="2"/>
  <c r="TM42" i="2" s="1"/>
  <c r="TE34" i="2"/>
  <c r="CI29" i="6"/>
  <c r="CI33" i="6"/>
  <c r="C53" i="7"/>
  <c r="CH31" i="6"/>
  <c r="CH33" i="6" s="1"/>
  <c r="TD30" i="2"/>
  <c r="TE30" i="2"/>
  <c r="TD34" i="2"/>
  <c r="CH13" i="6"/>
  <c r="CH29" i="6" s="1"/>
  <c r="F25" i="11" l="1"/>
  <c r="F26" i="11"/>
  <c r="CI36" i="6"/>
  <c r="TD37" i="2"/>
  <c r="E25" i="11" s="1"/>
  <c r="TE37" i="2"/>
  <c r="E26" i="11" s="1"/>
  <c r="CH36" i="6"/>
  <c r="UL33" i="2"/>
  <c r="UL32" i="2"/>
  <c r="UL29" i="2"/>
  <c r="UR29" i="2" s="1"/>
  <c r="UP29" i="2" s="1"/>
  <c r="UL28" i="2"/>
  <c r="UR28" i="2" s="1"/>
  <c r="UP28" i="2" s="1"/>
  <c r="UL27" i="2"/>
  <c r="UR27" i="2" s="1"/>
  <c r="UP27" i="2" s="1"/>
  <c r="UL26" i="2"/>
  <c r="UR26" i="2" s="1"/>
  <c r="UP26" i="2" s="1"/>
  <c r="UL25" i="2"/>
  <c r="UR25" i="2" s="1"/>
  <c r="UP25" i="2" s="1"/>
  <c r="UL24" i="2"/>
  <c r="UR24" i="2" s="1"/>
  <c r="UP24" i="2" s="1"/>
  <c r="UL23" i="2"/>
  <c r="UR23" i="2" s="1"/>
  <c r="UP23" i="2" s="1"/>
  <c r="UL22" i="2"/>
  <c r="UR22" i="2" s="1"/>
  <c r="UP22" i="2" s="1"/>
  <c r="UL21" i="2"/>
  <c r="UR21" i="2" s="1"/>
  <c r="UP21" i="2" s="1"/>
  <c r="UL20" i="2"/>
  <c r="UR20" i="2" s="1"/>
  <c r="UP20" i="2" s="1"/>
  <c r="UL19" i="2"/>
  <c r="UR19" i="2" s="1"/>
  <c r="UP19" i="2" s="1"/>
  <c r="UL18" i="2"/>
  <c r="UR18" i="2" s="1"/>
  <c r="UP18" i="2" s="1"/>
  <c r="UL17" i="2"/>
  <c r="UR17" i="2" s="1"/>
  <c r="UP17" i="2" s="1"/>
  <c r="UL16" i="2"/>
  <c r="UR16" i="2" s="1"/>
  <c r="UP16" i="2" s="1"/>
  <c r="UL15" i="2"/>
  <c r="UR15" i="2" s="1"/>
  <c r="UP15" i="2" s="1"/>
  <c r="UL14" i="2"/>
  <c r="UR14" i="2" s="1"/>
  <c r="UP14" i="2" s="1"/>
  <c r="UL13" i="2"/>
  <c r="UR13" i="2" s="1"/>
  <c r="UP13" i="2" s="1"/>
  <c r="UL12" i="2"/>
  <c r="UR12" i="2" s="1"/>
  <c r="UP12" i="2" s="1"/>
  <c r="UI33" i="2"/>
  <c r="UI32" i="2"/>
  <c r="UF33" i="2"/>
  <c r="UF32" i="2"/>
  <c r="UF29" i="2"/>
  <c r="UF28" i="2"/>
  <c r="UF27" i="2"/>
  <c r="UF26" i="2"/>
  <c r="UF25" i="2"/>
  <c r="UF24" i="2"/>
  <c r="UF23" i="2"/>
  <c r="UF22" i="2"/>
  <c r="UF21" i="2"/>
  <c r="UF20" i="2"/>
  <c r="UF19" i="2"/>
  <c r="UF18" i="2"/>
  <c r="UF17" i="2"/>
  <c r="UF16" i="2"/>
  <c r="UF15" i="2"/>
  <c r="UF14" i="2"/>
  <c r="UF13" i="2"/>
  <c r="UF12" i="2"/>
  <c r="UB34" i="2"/>
  <c r="UA34" i="2"/>
  <c r="TZ34" i="2"/>
  <c r="TY34" i="2"/>
  <c r="TW33" i="2"/>
  <c r="TW32" i="2"/>
  <c r="TW29" i="2"/>
  <c r="TW28" i="2"/>
  <c r="TW27" i="2"/>
  <c r="UB27" i="2" s="1"/>
  <c r="TZ27" i="2" s="1"/>
  <c r="TW26" i="2"/>
  <c r="UB26" i="2" s="1"/>
  <c r="TW25" i="2"/>
  <c r="TW24" i="2"/>
  <c r="TW23" i="2"/>
  <c r="UB23" i="2" s="1"/>
  <c r="TZ23" i="2" s="1"/>
  <c r="TW22" i="2"/>
  <c r="TW21" i="2"/>
  <c r="TW20" i="2"/>
  <c r="TW19" i="2"/>
  <c r="UB19" i="2" s="1"/>
  <c r="TZ19" i="2" s="1"/>
  <c r="TW18" i="2"/>
  <c r="UB18" i="2" s="1"/>
  <c r="TW17" i="2"/>
  <c r="TW16" i="2"/>
  <c r="TW15" i="2"/>
  <c r="UB15" i="2" s="1"/>
  <c r="TZ15" i="2" s="1"/>
  <c r="TW14" i="2"/>
  <c r="UB14" i="2" s="1"/>
  <c r="TW13" i="2"/>
  <c r="UB13" i="2" s="1"/>
  <c r="TW12" i="2"/>
  <c r="UB12" i="2" s="1"/>
  <c r="TU33" i="2"/>
  <c r="TU32" i="2"/>
  <c r="TS33" i="2"/>
  <c r="TS32" i="2"/>
  <c r="TS29" i="2"/>
  <c r="TS28" i="2"/>
  <c r="TS27" i="2"/>
  <c r="TS26" i="2"/>
  <c r="TS25" i="2"/>
  <c r="TS24" i="2"/>
  <c r="TS23" i="2"/>
  <c r="TS22" i="2"/>
  <c r="TS21" i="2"/>
  <c r="TS20" i="2"/>
  <c r="TS19" i="2"/>
  <c r="TS18" i="2"/>
  <c r="TS17" i="2"/>
  <c r="TS16" i="2"/>
  <c r="TS15" i="2"/>
  <c r="TS14" i="2"/>
  <c r="TS13" i="2"/>
  <c r="TS12" i="2"/>
  <c r="H25" i="11" l="1"/>
  <c r="UL34" i="2"/>
  <c r="UB22" i="2"/>
  <c r="TZ22" i="2" s="1"/>
  <c r="B53" i="7"/>
  <c r="G25" i="11"/>
  <c r="I25" i="11" s="1"/>
  <c r="UB17" i="2"/>
  <c r="TZ17" i="2" s="1"/>
  <c r="TZ13" i="2"/>
  <c r="TU34" i="2"/>
  <c r="UB21" i="2"/>
  <c r="TZ21" i="2" s="1"/>
  <c r="UF30" i="2"/>
  <c r="UI34" i="2"/>
  <c r="UB25" i="2"/>
  <c r="TZ25" i="2" s="1"/>
  <c r="UB29" i="2"/>
  <c r="TZ29" i="2" s="1"/>
  <c r="UF34" i="2"/>
  <c r="UL30" i="2"/>
  <c r="UL37" i="2" s="1"/>
  <c r="H26" i="11"/>
  <c r="G26" i="11"/>
  <c r="I26" i="11" s="1"/>
  <c r="TZ12" i="2"/>
  <c r="UB28" i="2"/>
  <c r="TZ28" i="2" s="1"/>
  <c r="TZ26" i="2"/>
  <c r="UB24" i="2"/>
  <c r="TZ24" i="2" s="1"/>
  <c r="UB20" i="2"/>
  <c r="TZ20" i="2" s="1"/>
  <c r="TZ18" i="2"/>
  <c r="UB16" i="2"/>
  <c r="TZ16" i="2" s="1"/>
  <c r="TZ14" i="2"/>
  <c r="TS34" i="2"/>
  <c r="TW30" i="2"/>
  <c r="TS30" i="2"/>
  <c r="TW34" i="2"/>
  <c r="TS37" i="2" l="1"/>
  <c r="UF37" i="2"/>
  <c r="TZ30" i="2"/>
  <c r="TZ37" i="2" s="1"/>
  <c r="UB30" i="2"/>
  <c r="UB37" i="2" s="1"/>
  <c r="TW37" i="2"/>
  <c r="AR56" i="1" l="1"/>
  <c r="CC11" i="18"/>
  <c r="CE11" i="18"/>
  <c r="CE12" i="18"/>
  <c r="CE13" i="18"/>
  <c r="CE14" i="18"/>
  <c r="CC15" i="18"/>
  <c r="CE15" i="18"/>
  <c r="CE16" i="18"/>
  <c r="CE17" i="18"/>
  <c r="CE18" i="18"/>
  <c r="CE19" i="18"/>
  <c r="CE20" i="18"/>
  <c r="CE21" i="18"/>
  <c r="CC22" i="18"/>
  <c r="CE22" i="18"/>
  <c r="CC23" i="18"/>
  <c r="CE23" i="18"/>
  <c r="CE24" i="18"/>
  <c r="CC25" i="18"/>
  <c r="CE25" i="18"/>
  <c r="CE26" i="18"/>
  <c r="CC27" i="18"/>
  <c r="CE27" i="18"/>
  <c r="CC10" i="18"/>
  <c r="CE10" i="18"/>
  <c r="S31" i="18"/>
  <c r="Q31" i="18"/>
  <c r="S30" i="18"/>
  <c r="Q30" i="18"/>
  <c r="Q11" i="18"/>
  <c r="S11" i="18"/>
  <c r="Q12" i="18"/>
  <c r="S12" i="18"/>
  <c r="Q13" i="18"/>
  <c r="S13" i="18"/>
  <c r="Q14" i="18"/>
  <c r="S14" i="18"/>
  <c r="Q15" i="18"/>
  <c r="S15" i="18"/>
  <c r="Q16" i="18"/>
  <c r="S16" i="18"/>
  <c r="Q17" i="18"/>
  <c r="S17" i="18"/>
  <c r="Q18" i="18"/>
  <c r="S18" i="18"/>
  <c r="Q19" i="18"/>
  <c r="S19" i="18"/>
  <c r="Q20" i="18"/>
  <c r="S20" i="18"/>
  <c r="Q21" i="18"/>
  <c r="S21" i="18"/>
  <c r="Q22" i="18"/>
  <c r="S22" i="18"/>
  <c r="Q23" i="18"/>
  <c r="S23" i="18"/>
  <c r="Q24" i="18"/>
  <c r="S24" i="18"/>
  <c r="Q25" i="18"/>
  <c r="S25" i="18"/>
  <c r="Q26" i="18"/>
  <c r="S26" i="18"/>
  <c r="Q27" i="18"/>
  <c r="S27" i="18"/>
  <c r="O31" i="18"/>
  <c r="O30" i="18"/>
  <c r="S10" i="18"/>
  <c r="Q10" i="18"/>
  <c r="CM31" i="18"/>
  <c r="CM30" i="18"/>
  <c r="CI31" i="18"/>
  <c r="CI30" i="18"/>
  <c r="CM11" i="18"/>
  <c r="CM12" i="18"/>
  <c r="CM13" i="18"/>
  <c r="CM14" i="18"/>
  <c r="CM15" i="18"/>
  <c r="CM16" i="18"/>
  <c r="CM18" i="18"/>
  <c r="CM19" i="18"/>
  <c r="CM20" i="18"/>
  <c r="CM21" i="18"/>
  <c r="CM22" i="18"/>
  <c r="CM23" i="18"/>
  <c r="CM24" i="18"/>
  <c r="CM26" i="18"/>
  <c r="CM27" i="18"/>
  <c r="CM10" i="18"/>
  <c r="CU11" i="18"/>
  <c r="CU13" i="18"/>
  <c r="CU14" i="18"/>
  <c r="CU15" i="18"/>
  <c r="CU16" i="18"/>
  <c r="CU17" i="18"/>
  <c r="CU18" i="18"/>
  <c r="CU19" i="18"/>
  <c r="CU20" i="18"/>
  <c r="CU21" i="18"/>
  <c r="CU22" i="18"/>
  <c r="CU23" i="18"/>
  <c r="CU24" i="18"/>
  <c r="CU25" i="18"/>
  <c r="CU26" i="18"/>
  <c r="CU27" i="18"/>
  <c r="CU10" i="18"/>
  <c r="B29" i="18"/>
  <c r="C29" i="18"/>
  <c r="B33" i="18"/>
  <c r="C33" i="18"/>
  <c r="B34" i="18"/>
  <c r="C34" i="18"/>
  <c r="FG31" i="18"/>
  <c r="FE31" i="18"/>
  <c r="FG30" i="18"/>
  <c r="FE30" i="18"/>
  <c r="FE11" i="18"/>
  <c r="FG11" i="18"/>
  <c r="FE12" i="18"/>
  <c r="FG12" i="18"/>
  <c r="FE13" i="18"/>
  <c r="FG13" i="18"/>
  <c r="FE14" i="18"/>
  <c r="FG14" i="18"/>
  <c r="FE15" i="18"/>
  <c r="FG15" i="18"/>
  <c r="FE16" i="18"/>
  <c r="FG16" i="18"/>
  <c r="FE17" i="18"/>
  <c r="FG17" i="18"/>
  <c r="FE18" i="18"/>
  <c r="FG18" i="18"/>
  <c r="FE19" i="18"/>
  <c r="FG19" i="18"/>
  <c r="FE20" i="18"/>
  <c r="FG20" i="18"/>
  <c r="FE21" i="18"/>
  <c r="FG21" i="18"/>
  <c r="FE22" i="18"/>
  <c r="FG22" i="18"/>
  <c r="FE23" i="18"/>
  <c r="FG23" i="18"/>
  <c r="FE24" i="18"/>
  <c r="FG24" i="18"/>
  <c r="FE25" i="18"/>
  <c r="FG25" i="18"/>
  <c r="FE26" i="18"/>
  <c r="FG26" i="18"/>
  <c r="FE27" i="18"/>
  <c r="FG27" i="18"/>
  <c r="FC31" i="18"/>
  <c r="FC30" i="18"/>
  <c r="FG10" i="18"/>
  <c r="FE10" i="18"/>
  <c r="FO31" i="18"/>
  <c r="FM31" i="18"/>
  <c r="FO30" i="18"/>
  <c r="FM30" i="18"/>
  <c r="FO11" i="18"/>
  <c r="FO12" i="18"/>
  <c r="FO13" i="18"/>
  <c r="FO14" i="18"/>
  <c r="FO15" i="18"/>
  <c r="FO16" i="18"/>
  <c r="FO17" i="18"/>
  <c r="FO18" i="18"/>
  <c r="FO19" i="18"/>
  <c r="FO20" i="18"/>
  <c r="FO21" i="18"/>
  <c r="FO22" i="18"/>
  <c r="FO23" i="18"/>
  <c r="FO24" i="18"/>
  <c r="FO25" i="18"/>
  <c r="FO26" i="18"/>
  <c r="FO27" i="18"/>
  <c r="FO10" i="18"/>
  <c r="FM11" i="18"/>
  <c r="FM12" i="18"/>
  <c r="FM13" i="18"/>
  <c r="FM14" i="18"/>
  <c r="FM15" i="18"/>
  <c r="FM16" i="18"/>
  <c r="FM17" i="18"/>
  <c r="FM18" i="18"/>
  <c r="FM19" i="18"/>
  <c r="FM20" i="18"/>
  <c r="FM21" i="18"/>
  <c r="FM22" i="18"/>
  <c r="FM23" i="18"/>
  <c r="FM24" i="18"/>
  <c r="FM25" i="18"/>
  <c r="FM26" i="18"/>
  <c r="FM27" i="18"/>
  <c r="FM10" i="18"/>
  <c r="FK31" i="18"/>
  <c r="FK30" i="18"/>
  <c r="HI11" i="18" l="1"/>
  <c r="HJ11" i="18"/>
  <c r="HI12" i="18"/>
  <c r="HJ12" i="18"/>
  <c r="HI13" i="18"/>
  <c r="HJ13" i="18"/>
  <c r="HI14" i="18"/>
  <c r="HJ14" i="18"/>
  <c r="HI15" i="18"/>
  <c r="HJ15" i="18"/>
  <c r="HI16" i="18"/>
  <c r="HJ16" i="18"/>
  <c r="HI17" i="18"/>
  <c r="HJ17" i="18"/>
  <c r="HI18" i="18"/>
  <c r="HJ18" i="18"/>
  <c r="HI19" i="18"/>
  <c r="HJ19" i="18"/>
  <c r="HI20" i="18"/>
  <c r="HJ20" i="18"/>
  <c r="HI21" i="18"/>
  <c r="HJ21" i="18"/>
  <c r="HI22" i="18"/>
  <c r="HJ22" i="18"/>
  <c r="HI23" i="18"/>
  <c r="HJ23" i="18"/>
  <c r="HI24" i="18"/>
  <c r="HJ24" i="18"/>
  <c r="HI25" i="18"/>
  <c r="HJ25" i="18"/>
  <c r="HI26" i="18"/>
  <c r="HJ26" i="18"/>
  <c r="HI27" i="18"/>
  <c r="HJ27" i="18"/>
  <c r="HI10" i="18"/>
  <c r="HJ10" i="18"/>
  <c r="K31" i="18"/>
  <c r="J31" i="18"/>
  <c r="K30" i="18"/>
  <c r="J30" i="18"/>
  <c r="K27" i="18"/>
  <c r="K26" i="18"/>
  <c r="K24" i="18"/>
  <c r="K23" i="18"/>
  <c r="K22" i="18"/>
  <c r="K21" i="18"/>
  <c r="K20" i="18"/>
  <c r="K19" i="18"/>
  <c r="K18" i="18"/>
  <c r="K16" i="18"/>
  <c r="K15" i="18"/>
  <c r="K14" i="18"/>
  <c r="K13" i="18"/>
  <c r="K11" i="18"/>
  <c r="K10" i="18"/>
  <c r="F30" i="18"/>
  <c r="G30" i="18"/>
  <c r="F31" i="18"/>
  <c r="G31" i="18"/>
  <c r="HS32" i="18"/>
  <c r="HR32" i="18"/>
  <c r="HS28" i="18"/>
  <c r="HR28" i="18"/>
  <c r="HK32" i="18"/>
  <c r="HJ32" i="18"/>
  <c r="HI32" i="18"/>
  <c r="HK28" i="18"/>
  <c r="HC32" i="18"/>
  <c r="HB32" i="18"/>
  <c r="HA32" i="18"/>
  <c r="HC28" i="18"/>
  <c r="HA28" i="18"/>
  <c r="GU32" i="18"/>
  <c r="GT32" i="18"/>
  <c r="GS32" i="18"/>
  <c r="GU28" i="18"/>
  <c r="GS28" i="18"/>
  <c r="GM32" i="18"/>
  <c r="GL32" i="18"/>
  <c r="GK32" i="18"/>
  <c r="GM28" i="18"/>
  <c r="GL28" i="18"/>
  <c r="GK28" i="18"/>
  <c r="GE32" i="18"/>
  <c r="GD32" i="18"/>
  <c r="GC32" i="18"/>
  <c r="GE28" i="18"/>
  <c r="GC28" i="18"/>
  <c r="FW32" i="18"/>
  <c r="FV32" i="18"/>
  <c r="FU32" i="18"/>
  <c r="FW28" i="18"/>
  <c r="FV28" i="18"/>
  <c r="FU28" i="18"/>
  <c r="FO32" i="18"/>
  <c r="FN32" i="18"/>
  <c r="FM32" i="18"/>
  <c r="FO28" i="18"/>
  <c r="FN28" i="18"/>
  <c r="FM28" i="18"/>
  <c r="FG32" i="18"/>
  <c r="FF32" i="18"/>
  <c r="FE32" i="18"/>
  <c r="FG28" i="18"/>
  <c r="FF28" i="18"/>
  <c r="FE28" i="18"/>
  <c r="EY32" i="18"/>
  <c r="EX32" i="18"/>
  <c r="EW32" i="18"/>
  <c r="EY28" i="18"/>
  <c r="EX28" i="18"/>
  <c r="EW28" i="18"/>
  <c r="EQ32" i="18"/>
  <c r="EP32" i="18"/>
  <c r="EQ28" i="18"/>
  <c r="EP28" i="18"/>
  <c r="EO28" i="18"/>
  <c r="EI32" i="18"/>
  <c r="EH32" i="18"/>
  <c r="EI28" i="18"/>
  <c r="EH28" i="18"/>
  <c r="EG28" i="18"/>
  <c r="EA32" i="18"/>
  <c r="DZ32" i="18"/>
  <c r="EA28" i="18"/>
  <c r="DZ28" i="18"/>
  <c r="DY28" i="18"/>
  <c r="DS32" i="18"/>
  <c r="DR32" i="18"/>
  <c r="DS28" i="18"/>
  <c r="DR28" i="18"/>
  <c r="DR35" i="18" s="1"/>
  <c r="DK32" i="18"/>
  <c r="DJ32" i="18"/>
  <c r="DI32" i="18"/>
  <c r="DK28" i="18"/>
  <c r="DI28" i="18"/>
  <c r="DC32" i="18"/>
  <c r="DB32" i="18"/>
  <c r="DA32" i="18"/>
  <c r="DC28" i="18"/>
  <c r="DB28" i="18"/>
  <c r="DA28" i="18"/>
  <c r="CU32" i="18"/>
  <c r="CT32" i="18"/>
  <c r="CS32" i="18"/>
  <c r="CM32" i="18"/>
  <c r="CL32" i="18"/>
  <c r="CL28" i="18"/>
  <c r="CE32" i="18"/>
  <c r="CD32" i="18"/>
  <c r="CC32" i="18"/>
  <c r="CE28" i="18"/>
  <c r="BW32" i="18"/>
  <c r="BV32" i="18"/>
  <c r="BW28" i="18"/>
  <c r="BV28" i="18"/>
  <c r="BU28" i="18"/>
  <c r="BO32" i="18"/>
  <c r="BN32" i="18"/>
  <c r="BO28" i="18"/>
  <c r="BO35" i="18" s="1"/>
  <c r="BN28" i="18"/>
  <c r="BN35" i="18" s="1"/>
  <c r="BG32" i="18"/>
  <c r="BF32" i="18"/>
  <c r="BG28" i="18"/>
  <c r="BF28" i="18"/>
  <c r="BE28" i="18"/>
  <c r="AY32" i="18"/>
  <c r="AX32" i="18"/>
  <c r="AY28" i="18"/>
  <c r="AY35" i="18" s="1"/>
  <c r="AX28" i="18"/>
  <c r="AQ32" i="18"/>
  <c r="AP32" i="18"/>
  <c r="AQ28" i="18"/>
  <c r="AP28" i="18"/>
  <c r="AI32" i="18"/>
  <c r="AH32" i="18"/>
  <c r="AI28" i="18"/>
  <c r="AI35" i="18" s="1"/>
  <c r="AH28" i="18"/>
  <c r="AA32" i="18"/>
  <c r="Z32" i="18"/>
  <c r="AA28" i="18"/>
  <c r="Z28" i="18"/>
  <c r="S32" i="18"/>
  <c r="R32" i="18"/>
  <c r="Q32" i="18"/>
  <c r="S28" i="18"/>
  <c r="R28" i="18"/>
  <c r="Q28" i="18"/>
  <c r="HO32" i="18"/>
  <c r="HN32" i="18"/>
  <c r="HO28" i="18"/>
  <c r="HN28" i="18"/>
  <c r="HG32" i="18"/>
  <c r="HF32" i="18"/>
  <c r="HE32" i="18"/>
  <c r="HG28" i="18"/>
  <c r="GY32" i="18"/>
  <c r="GX32" i="18"/>
  <c r="GW32" i="18"/>
  <c r="GY28" i="18"/>
  <c r="GW28" i="18"/>
  <c r="GQ32" i="18"/>
  <c r="GP32" i="18"/>
  <c r="GO32" i="18"/>
  <c r="GQ28" i="18"/>
  <c r="GO28" i="18"/>
  <c r="GI32" i="18"/>
  <c r="GH32" i="18"/>
  <c r="GG32" i="18"/>
  <c r="GI28" i="18"/>
  <c r="GH28" i="18"/>
  <c r="GG28" i="18"/>
  <c r="GA32" i="18"/>
  <c r="FZ32" i="18"/>
  <c r="FY32" i="18"/>
  <c r="GA28" i="18"/>
  <c r="FY28" i="18"/>
  <c r="FS32" i="18"/>
  <c r="FR32" i="18"/>
  <c r="FQ32" i="18"/>
  <c r="FS28" i="18"/>
  <c r="FR28" i="18"/>
  <c r="FQ28" i="18"/>
  <c r="FK32" i="18"/>
  <c r="FJ32" i="18"/>
  <c r="FJ28" i="18"/>
  <c r="FC32" i="18"/>
  <c r="FB32" i="18"/>
  <c r="FB28" i="18"/>
  <c r="EU32" i="18"/>
  <c r="ET32" i="18"/>
  <c r="ES32" i="18"/>
  <c r="EU28" i="18"/>
  <c r="ET28" i="18"/>
  <c r="ES28" i="18"/>
  <c r="EM32" i="18"/>
  <c r="EL32" i="18"/>
  <c r="EM28" i="18"/>
  <c r="EL28" i="18"/>
  <c r="EK28" i="18"/>
  <c r="EE32" i="18"/>
  <c r="ED32" i="18"/>
  <c r="EE28" i="18"/>
  <c r="ED28" i="18"/>
  <c r="EC28" i="18"/>
  <c r="DW32" i="18"/>
  <c r="DV32" i="18"/>
  <c r="DW28" i="18"/>
  <c r="DV28" i="18"/>
  <c r="DU28" i="18"/>
  <c r="DO32" i="18"/>
  <c r="DN32" i="18"/>
  <c r="DO28" i="18"/>
  <c r="DN28" i="18"/>
  <c r="DG32" i="18"/>
  <c r="DF32" i="18"/>
  <c r="DE32" i="18"/>
  <c r="DG28" i="18"/>
  <c r="DE28" i="18"/>
  <c r="CY32" i="18"/>
  <c r="CX32" i="18"/>
  <c r="CW32" i="18"/>
  <c r="CY28" i="18"/>
  <c r="CX28" i="18"/>
  <c r="CW28" i="18"/>
  <c r="CQ32" i="18"/>
  <c r="CP32" i="18"/>
  <c r="CO32" i="18"/>
  <c r="CI32" i="18"/>
  <c r="CH32" i="18"/>
  <c r="CH28" i="18"/>
  <c r="CA32" i="18"/>
  <c r="BZ32" i="18"/>
  <c r="BY32" i="18"/>
  <c r="BS32" i="18"/>
  <c r="BR32" i="18"/>
  <c r="BS28" i="18"/>
  <c r="BR28" i="18"/>
  <c r="BQ28" i="18"/>
  <c r="BK32" i="18"/>
  <c r="BJ32" i="18"/>
  <c r="BK28" i="18"/>
  <c r="BJ28" i="18"/>
  <c r="BC32" i="18"/>
  <c r="BB32" i="18"/>
  <c r="BC28" i="18"/>
  <c r="BB28" i="18"/>
  <c r="BA28" i="18"/>
  <c r="AU32" i="18"/>
  <c r="AT32" i="18"/>
  <c r="AU28" i="18"/>
  <c r="AT28" i="18"/>
  <c r="AM32" i="18"/>
  <c r="AL32" i="18"/>
  <c r="AM28" i="18"/>
  <c r="AL28" i="18"/>
  <c r="AE32" i="18"/>
  <c r="AD32" i="18"/>
  <c r="AE28" i="18"/>
  <c r="AD28" i="18"/>
  <c r="W32" i="18"/>
  <c r="V32" i="18"/>
  <c r="W28" i="18"/>
  <c r="V28" i="18"/>
  <c r="N32" i="18"/>
  <c r="O32" i="18"/>
  <c r="N28" i="18"/>
  <c r="HP31" i="18"/>
  <c r="HQ31" i="18" s="1"/>
  <c r="HH31" i="18"/>
  <c r="GZ31" i="18"/>
  <c r="GV31" i="18"/>
  <c r="GR31" i="18"/>
  <c r="GJ31" i="18"/>
  <c r="GB31" i="18"/>
  <c r="FX31" i="18"/>
  <c r="FT31" i="18"/>
  <c r="FL31" i="18"/>
  <c r="FD31" i="18"/>
  <c r="EV31" i="18"/>
  <c r="EN31" i="18"/>
  <c r="EO31" i="18" s="1"/>
  <c r="EO32" i="18" s="1"/>
  <c r="EF31" i="18"/>
  <c r="EG31" i="18" s="1"/>
  <c r="EG32" i="18" s="1"/>
  <c r="DX31" i="18"/>
  <c r="DY31" i="18" s="1"/>
  <c r="DY32" i="18" s="1"/>
  <c r="DH31" i="18"/>
  <c r="CZ31" i="18"/>
  <c r="CR31" i="18"/>
  <c r="CB31" i="18"/>
  <c r="BT31" i="18"/>
  <c r="BL31" i="18"/>
  <c r="BM31" i="18" s="1"/>
  <c r="BD31" i="18"/>
  <c r="BE31" i="18" s="1"/>
  <c r="BE32" i="18" s="1"/>
  <c r="AV31" i="18"/>
  <c r="AW31" i="18" s="1"/>
  <c r="AN31" i="18"/>
  <c r="AO31" i="18" s="1"/>
  <c r="AF31" i="18"/>
  <c r="AG31" i="18" s="1"/>
  <c r="X31" i="18"/>
  <c r="Y31" i="18" s="1"/>
  <c r="P31" i="18"/>
  <c r="HP30" i="18"/>
  <c r="HQ30" i="18" s="1"/>
  <c r="HH30" i="18"/>
  <c r="GZ30" i="18"/>
  <c r="GV30" i="18"/>
  <c r="GR30" i="18"/>
  <c r="GJ30" i="18"/>
  <c r="GB30" i="18"/>
  <c r="FX30" i="18"/>
  <c r="FT30" i="18"/>
  <c r="FL30" i="18"/>
  <c r="FD30" i="18"/>
  <c r="EV30" i="18"/>
  <c r="EN30" i="18"/>
  <c r="EF30" i="18"/>
  <c r="DX30" i="18"/>
  <c r="DP30" i="18"/>
  <c r="DQ30" i="18" s="1"/>
  <c r="DH30" i="18"/>
  <c r="CZ30" i="18"/>
  <c r="CR30" i="18"/>
  <c r="CB30" i="18"/>
  <c r="BT30" i="18"/>
  <c r="BU30" i="18" s="1"/>
  <c r="BU32" i="18" s="1"/>
  <c r="BL30" i="18"/>
  <c r="BM30" i="18" s="1"/>
  <c r="BD30" i="18"/>
  <c r="AV30" i="18"/>
  <c r="AW30" i="18" s="1"/>
  <c r="AN30" i="18"/>
  <c r="AO30" i="18" s="1"/>
  <c r="AF30" i="18"/>
  <c r="AG30" i="18" s="1"/>
  <c r="X30" i="18"/>
  <c r="Y30" i="18" s="1"/>
  <c r="P30" i="18"/>
  <c r="HP27" i="18"/>
  <c r="HQ27" i="18" s="1"/>
  <c r="HH27" i="18"/>
  <c r="GZ27" i="18"/>
  <c r="HB27" i="18" s="1"/>
  <c r="GR27" i="18"/>
  <c r="GT27" i="18" s="1"/>
  <c r="GJ27" i="18"/>
  <c r="GB27" i="18"/>
  <c r="GD27" i="18" s="1"/>
  <c r="FT27" i="18"/>
  <c r="FL27" i="18"/>
  <c r="FD27" i="18"/>
  <c r="EV27" i="18"/>
  <c r="EN27" i="18"/>
  <c r="EF27" i="18"/>
  <c r="DX27" i="18"/>
  <c r="DP27" i="18"/>
  <c r="DQ27" i="18" s="1"/>
  <c r="DL27" i="18"/>
  <c r="DM27" i="18" s="1"/>
  <c r="DH27" i="18"/>
  <c r="DJ27" i="18" s="1"/>
  <c r="CZ27" i="18"/>
  <c r="BT27" i="18"/>
  <c r="BL27" i="18"/>
  <c r="BM27" i="18" s="1"/>
  <c r="BD27" i="18"/>
  <c r="AV27" i="18"/>
  <c r="AW27" i="18" s="1"/>
  <c r="AN27" i="18"/>
  <c r="AO27" i="18" s="1"/>
  <c r="AF27" i="18"/>
  <c r="AG27" i="18" s="1"/>
  <c r="X27" i="18"/>
  <c r="Y27" i="18" s="1"/>
  <c r="P27" i="18"/>
  <c r="HP26" i="18"/>
  <c r="HQ26" i="18" s="1"/>
  <c r="HH26" i="18"/>
  <c r="GZ26" i="18"/>
  <c r="HB26" i="18" s="1"/>
  <c r="GR26" i="18"/>
  <c r="GT26" i="18" s="1"/>
  <c r="GJ26" i="18"/>
  <c r="GB26" i="18"/>
  <c r="GD26" i="18" s="1"/>
  <c r="FT26" i="18"/>
  <c r="FL26" i="18"/>
  <c r="FD26" i="18"/>
  <c r="EV26" i="18"/>
  <c r="EN26" i="18"/>
  <c r="EF26" i="18"/>
  <c r="DX26" i="18"/>
  <c r="DP26" i="18"/>
  <c r="DQ26" i="18" s="1"/>
  <c r="DH26" i="18"/>
  <c r="DJ26" i="18" s="1"/>
  <c r="CZ26" i="18"/>
  <c r="BT26" i="18"/>
  <c r="BL26" i="18"/>
  <c r="BM26" i="18" s="1"/>
  <c r="BD26" i="18"/>
  <c r="AV26" i="18"/>
  <c r="AW26" i="18" s="1"/>
  <c r="AN26" i="18"/>
  <c r="AO26" i="18" s="1"/>
  <c r="AF26" i="18"/>
  <c r="AG26" i="18" s="1"/>
  <c r="X26" i="18"/>
  <c r="Y26" i="18" s="1"/>
  <c r="P26" i="18"/>
  <c r="HP25" i="18"/>
  <c r="HQ25" i="18" s="1"/>
  <c r="HH25" i="18"/>
  <c r="GZ25" i="18"/>
  <c r="HB25" i="18" s="1"/>
  <c r="GR25" i="18"/>
  <c r="GT25" i="18" s="1"/>
  <c r="GJ25" i="18"/>
  <c r="GB25" i="18"/>
  <c r="GD25" i="18" s="1"/>
  <c r="FT25" i="18"/>
  <c r="FL25" i="18"/>
  <c r="FD25" i="18"/>
  <c r="EV25" i="18"/>
  <c r="EN25" i="18"/>
  <c r="EF25" i="18"/>
  <c r="DX25" i="18"/>
  <c r="DH25" i="18"/>
  <c r="DJ25" i="18" s="1"/>
  <c r="CZ25" i="18"/>
  <c r="BT25" i="18"/>
  <c r="BL25" i="18"/>
  <c r="BM25" i="18" s="1"/>
  <c r="BD25" i="18"/>
  <c r="AV25" i="18"/>
  <c r="AW25" i="18" s="1"/>
  <c r="AN25" i="18"/>
  <c r="AO25" i="18" s="1"/>
  <c r="AF25" i="18"/>
  <c r="AG25" i="18" s="1"/>
  <c r="X25" i="18"/>
  <c r="Y25" i="18" s="1"/>
  <c r="P25" i="18"/>
  <c r="HP24" i="18"/>
  <c r="HQ24" i="18" s="1"/>
  <c r="HH24" i="18"/>
  <c r="GZ24" i="18"/>
  <c r="HB24" i="18" s="1"/>
  <c r="GR24" i="18"/>
  <c r="GT24" i="18" s="1"/>
  <c r="GJ24" i="18"/>
  <c r="GB24" i="18"/>
  <c r="GD24" i="18" s="1"/>
  <c r="FT24" i="18"/>
  <c r="FL24" i="18"/>
  <c r="FD24" i="18"/>
  <c r="EV24" i="18"/>
  <c r="EN24" i="18"/>
  <c r="EF24" i="18"/>
  <c r="DX24" i="18"/>
  <c r="DP24" i="18"/>
  <c r="DQ24" i="18" s="1"/>
  <c r="DH24" i="18"/>
  <c r="DJ24" i="18" s="1"/>
  <c r="CZ24" i="18"/>
  <c r="BT24" i="18"/>
  <c r="BL24" i="18"/>
  <c r="BM24" i="18" s="1"/>
  <c r="BD24" i="18"/>
  <c r="AV24" i="18"/>
  <c r="AW24" i="18" s="1"/>
  <c r="AN24" i="18"/>
  <c r="AO24" i="18" s="1"/>
  <c r="AF24" i="18"/>
  <c r="AG24" i="18" s="1"/>
  <c r="X24" i="18"/>
  <c r="Y24" i="18" s="1"/>
  <c r="P24" i="18"/>
  <c r="HP23" i="18"/>
  <c r="HQ23" i="18" s="1"/>
  <c r="HH23" i="18"/>
  <c r="GZ23" i="18"/>
  <c r="HB23" i="18" s="1"/>
  <c r="GR23" i="18"/>
  <c r="GT23" i="18" s="1"/>
  <c r="GJ23" i="18"/>
  <c r="GB23" i="18"/>
  <c r="GD23" i="18" s="1"/>
  <c r="FT23" i="18"/>
  <c r="FL23" i="18"/>
  <c r="FD23" i="18"/>
  <c r="EV23" i="18"/>
  <c r="EN23" i="18"/>
  <c r="EF23" i="18"/>
  <c r="DX23" i="18"/>
  <c r="DP23" i="18"/>
  <c r="DQ23" i="18" s="1"/>
  <c r="DH23" i="18"/>
  <c r="DJ23" i="18" s="1"/>
  <c r="CZ23" i="18"/>
  <c r="BT23" i="18"/>
  <c r="BL23" i="18"/>
  <c r="BM23" i="18" s="1"/>
  <c r="BD23" i="18"/>
  <c r="AV23" i="18"/>
  <c r="AW23" i="18" s="1"/>
  <c r="AN23" i="18"/>
  <c r="AO23" i="18" s="1"/>
  <c r="AF23" i="18"/>
  <c r="AG23" i="18" s="1"/>
  <c r="X23" i="18"/>
  <c r="Y23" i="18" s="1"/>
  <c r="P23" i="18"/>
  <c r="HP22" i="18"/>
  <c r="HQ22" i="18" s="1"/>
  <c r="HH22" i="18"/>
  <c r="GZ22" i="18"/>
  <c r="HB22" i="18" s="1"/>
  <c r="GR22" i="18"/>
  <c r="GT22" i="18" s="1"/>
  <c r="GJ22" i="18"/>
  <c r="GB22" i="18"/>
  <c r="GD22" i="18" s="1"/>
  <c r="FT22" i="18"/>
  <c r="FL22" i="18"/>
  <c r="FD22" i="18"/>
  <c r="EV22" i="18"/>
  <c r="EN22" i="18"/>
  <c r="EF22" i="18"/>
  <c r="DX22" i="18"/>
  <c r="DP22" i="18"/>
  <c r="DQ22" i="18" s="1"/>
  <c r="DH22" i="18"/>
  <c r="DJ22" i="18" s="1"/>
  <c r="CZ22" i="18"/>
  <c r="BT22" i="18"/>
  <c r="BL22" i="18"/>
  <c r="BM22" i="18" s="1"/>
  <c r="BD22" i="18"/>
  <c r="AV22" i="18"/>
  <c r="AW22" i="18" s="1"/>
  <c r="AN22" i="18"/>
  <c r="AO22" i="18" s="1"/>
  <c r="AF22" i="18"/>
  <c r="AG22" i="18" s="1"/>
  <c r="X22" i="18"/>
  <c r="Y22" i="18" s="1"/>
  <c r="P22" i="18"/>
  <c r="HP21" i="18"/>
  <c r="HQ21" i="18" s="1"/>
  <c r="HH21" i="18"/>
  <c r="GZ21" i="18"/>
  <c r="HB21" i="18" s="1"/>
  <c r="GR21" i="18"/>
  <c r="GT21" i="18" s="1"/>
  <c r="GJ21" i="18"/>
  <c r="GB21" i="18"/>
  <c r="GD21" i="18" s="1"/>
  <c r="FT21" i="18"/>
  <c r="FL21" i="18"/>
  <c r="FD21" i="18"/>
  <c r="EV21" i="18"/>
  <c r="EN21" i="18"/>
  <c r="EF21" i="18"/>
  <c r="DX21" i="18"/>
  <c r="DP21" i="18"/>
  <c r="DQ21" i="18" s="1"/>
  <c r="DH21" i="18"/>
  <c r="DJ21" i="18" s="1"/>
  <c r="CZ21" i="18"/>
  <c r="BT21" i="18"/>
  <c r="BL21" i="18"/>
  <c r="BM21" i="18" s="1"/>
  <c r="BD21" i="18"/>
  <c r="AV21" i="18"/>
  <c r="AW21" i="18" s="1"/>
  <c r="AN21" i="18"/>
  <c r="AO21" i="18" s="1"/>
  <c r="AF21" i="18"/>
  <c r="AG21" i="18" s="1"/>
  <c r="X21" i="18"/>
  <c r="Y21" i="18" s="1"/>
  <c r="P21" i="18"/>
  <c r="HP20" i="18"/>
  <c r="HQ20" i="18" s="1"/>
  <c r="HH20" i="18"/>
  <c r="GZ20" i="18"/>
  <c r="HB20" i="18" s="1"/>
  <c r="GR20" i="18"/>
  <c r="GT20" i="18" s="1"/>
  <c r="GJ20" i="18"/>
  <c r="GB20" i="18"/>
  <c r="GD20" i="18" s="1"/>
  <c r="FT20" i="18"/>
  <c r="FL20" i="18"/>
  <c r="FD20" i="18"/>
  <c r="EV20" i="18"/>
  <c r="EN20" i="18"/>
  <c r="EF20" i="18"/>
  <c r="DX20" i="18"/>
  <c r="DP20" i="18"/>
  <c r="DQ20" i="18" s="1"/>
  <c r="DH20" i="18"/>
  <c r="DJ20" i="18" s="1"/>
  <c r="CZ20" i="18"/>
  <c r="BT20" i="18"/>
  <c r="BL20" i="18"/>
  <c r="BM20" i="18" s="1"/>
  <c r="BD20" i="18"/>
  <c r="AV20" i="18"/>
  <c r="AW20" i="18" s="1"/>
  <c r="AN20" i="18"/>
  <c r="AO20" i="18" s="1"/>
  <c r="AF20" i="18"/>
  <c r="AG20" i="18" s="1"/>
  <c r="X20" i="18"/>
  <c r="Y20" i="18" s="1"/>
  <c r="P20" i="18"/>
  <c r="HP19" i="18"/>
  <c r="HQ19" i="18" s="1"/>
  <c r="HH19" i="18"/>
  <c r="GZ19" i="18"/>
  <c r="HB19" i="18" s="1"/>
  <c r="GR19" i="18"/>
  <c r="GT19" i="18" s="1"/>
  <c r="GJ19" i="18"/>
  <c r="GB19" i="18"/>
  <c r="GD19" i="18" s="1"/>
  <c r="FT19" i="18"/>
  <c r="FL19" i="18"/>
  <c r="FD19" i="18"/>
  <c r="EV19" i="18"/>
  <c r="EN19" i="18"/>
  <c r="EF19" i="18"/>
  <c r="DX19" i="18"/>
  <c r="DP19" i="18"/>
  <c r="DQ19" i="18" s="1"/>
  <c r="DH19" i="18"/>
  <c r="DJ19" i="18" s="1"/>
  <c r="CZ19" i="18"/>
  <c r="BT19" i="18"/>
  <c r="BL19" i="18"/>
  <c r="BM19" i="18" s="1"/>
  <c r="BD19" i="18"/>
  <c r="AV19" i="18"/>
  <c r="AW19" i="18" s="1"/>
  <c r="AN19" i="18"/>
  <c r="AO19" i="18" s="1"/>
  <c r="AF19" i="18"/>
  <c r="AG19" i="18" s="1"/>
  <c r="X19" i="18"/>
  <c r="Y19" i="18" s="1"/>
  <c r="P19" i="18"/>
  <c r="HP18" i="18"/>
  <c r="HQ18" i="18" s="1"/>
  <c r="HH18" i="18"/>
  <c r="GZ18" i="18"/>
  <c r="HB18" i="18" s="1"/>
  <c r="GR18" i="18"/>
  <c r="GT18" i="18" s="1"/>
  <c r="GJ18" i="18"/>
  <c r="GB18" i="18"/>
  <c r="GD18" i="18" s="1"/>
  <c r="FT18" i="18"/>
  <c r="FL18" i="18"/>
  <c r="FD18" i="18"/>
  <c r="EV18" i="18"/>
  <c r="EN18" i="18"/>
  <c r="EF18" i="18"/>
  <c r="DX18" i="18"/>
  <c r="DP18" i="18"/>
  <c r="DQ18" i="18" s="1"/>
  <c r="DH18" i="18"/>
  <c r="DJ18" i="18" s="1"/>
  <c r="CZ18" i="18"/>
  <c r="BT18" i="18"/>
  <c r="BL18" i="18"/>
  <c r="BM18" i="18" s="1"/>
  <c r="BD18" i="18"/>
  <c r="AN18" i="18"/>
  <c r="AO18" i="18" s="1"/>
  <c r="AF18" i="18"/>
  <c r="AG18" i="18" s="1"/>
  <c r="X18" i="18"/>
  <c r="Y18" i="18" s="1"/>
  <c r="P18" i="18"/>
  <c r="HP17" i="18"/>
  <c r="HQ17" i="18" s="1"/>
  <c r="HH17" i="18"/>
  <c r="GZ17" i="18"/>
  <c r="HB17" i="18" s="1"/>
  <c r="GR17" i="18"/>
  <c r="GT17" i="18" s="1"/>
  <c r="GJ17" i="18"/>
  <c r="GB17" i="18"/>
  <c r="GD17" i="18" s="1"/>
  <c r="FT17" i="18"/>
  <c r="FL17" i="18"/>
  <c r="FD17" i="18"/>
  <c r="EV17" i="18"/>
  <c r="EN17" i="18"/>
  <c r="EF17" i="18"/>
  <c r="DX17" i="18"/>
  <c r="DP17" i="18"/>
  <c r="DQ17" i="18" s="1"/>
  <c r="DH17" i="18"/>
  <c r="DJ17" i="18" s="1"/>
  <c r="CZ17" i="18"/>
  <c r="BT17" i="18"/>
  <c r="BL17" i="18"/>
  <c r="BM17" i="18" s="1"/>
  <c r="BD17" i="18"/>
  <c r="AV17" i="18"/>
  <c r="AW17" i="18" s="1"/>
  <c r="AN17" i="18"/>
  <c r="AO17" i="18" s="1"/>
  <c r="AF17" i="18"/>
  <c r="AG17" i="18" s="1"/>
  <c r="X17" i="18"/>
  <c r="Y17" i="18" s="1"/>
  <c r="P17" i="18"/>
  <c r="HP16" i="18"/>
  <c r="HQ16" i="18" s="1"/>
  <c r="HH16" i="18"/>
  <c r="GZ16" i="18"/>
  <c r="HB16" i="18" s="1"/>
  <c r="GR16" i="18"/>
  <c r="GT16" i="18" s="1"/>
  <c r="GJ16" i="18"/>
  <c r="GB16" i="18"/>
  <c r="GD16" i="18" s="1"/>
  <c r="FT16" i="18"/>
  <c r="FL16" i="18"/>
  <c r="FD16" i="18"/>
  <c r="EV16" i="18"/>
  <c r="EN16" i="18"/>
  <c r="EF16" i="18"/>
  <c r="DX16" i="18"/>
  <c r="DP16" i="18"/>
  <c r="DQ16" i="18" s="1"/>
  <c r="DH16" i="18"/>
  <c r="DJ16" i="18" s="1"/>
  <c r="CZ16" i="18"/>
  <c r="BT16" i="18"/>
  <c r="BL16" i="18"/>
  <c r="BM16" i="18" s="1"/>
  <c r="BD16" i="18"/>
  <c r="AV16" i="18"/>
  <c r="AW16" i="18" s="1"/>
  <c r="AN16" i="18"/>
  <c r="AO16" i="18" s="1"/>
  <c r="AF16" i="18"/>
  <c r="AG16" i="18" s="1"/>
  <c r="X16" i="18"/>
  <c r="Y16" i="18" s="1"/>
  <c r="P16" i="18"/>
  <c r="HP15" i="18"/>
  <c r="HQ15" i="18" s="1"/>
  <c r="HH15" i="18"/>
  <c r="GZ15" i="18"/>
  <c r="HB15" i="18" s="1"/>
  <c r="GR15" i="18"/>
  <c r="GT15" i="18" s="1"/>
  <c r="GJ15" i="18"/>
  <c r="GB15" i="18"/>
  <c r="GD15" i="18" s="1"/>
  <c r="FT15" i="18"/>
  <c r="FL15" i="18"/>
  <c r="FD15" i="18"/>
  <c r="EV15" i="18"/>
  <c r="EN15" i="18"/>
  <c r="EF15" i="18"/>
  <c r="DX15" i="18"/>
  <c r="DP15" i="18"/>
  <c r="DQ15" i="18" s="1"/>
  <c r="DH15" i="18"/>
  <c r="DJ15" i="18" s="1"/>
  <c r="CZ15" i="18"/>
  <c r="CB15" i="18"/>
  <c r="BT15" i="18"/>
  <c r="BL15" i="18"/>
  <c r="BM15" i="18" s="1"/>
  <c r="BD15" i="18"/>
  <c r="AV15" i="18"/>
  <c r="AW15" i="18" s="1"/>
  <c r="AN15" i="18"/>
  <c r="AO15" i="18" s="1"/>
  <c r="AF15" i="18"/>
  <c r="AG15" i="18" s="1"/>
  <c r="X15" i="18"/>
  <c r="Y15" i="18" s="1"/>
  <c r="P15" i="18"/>
  <c r="HP14" i="18"/>
  <c r="HQ14" i="18" s="1"/>
  <c r="HH14" i="18"/>
  <c r="GZ14" i="18"/>
  <c r="HB14" i="18" s="1"/>
  <c r="GR14" i="18"/>
  <c r="GT14" i="18" s="1"/>
  <c r="GJ14" i="18"/>
  <c r="GB14" i="18"/>
  <c r="GD14" i="18" s="1"/>
  <c r="FT14" i="18"/>
  <c r="FL14" i="18"/>
  <c r="FD14" i="18"/>
  <c r="EV14" i="18"/>
  <c r="EN14" i="18"/>
  <c r="EF14" i="18"/>
  <c r="DX14" i="18"/>
  <c r="DP14" i="18"/>
  <c r="DQ14" i="18" s="1"/>
  <c r="DH14" i="18"/>
  <c r="DJ14" i="18" s="1"/>
  <c r="CZ14" i="18"/>
  <c r="BT14" i="18"/>
  <c r="BL14" i="18"/>
  <c r="BM14" i="18" s="1"/>
  <c r="BD14" i="18"/>
  <c r="AV14" i="18"/>
  <c r="AW14" i="18" s="1"/>
  <c r="AN14" i="18"/>
  <c r="AO14" i="18" s="1"/>
  <c r="AF14" i="18"/>
  <c r="AG14" i="18" s="1"/>
  <c r="X14" i="18"/>
  <c r="Y14" i="18" s="1"/>
  <c r="P14" i="18"/>
  <c r="HP13" i="18"/>
  <c r="HQ13" i="18" s="1"/>
  <c r="HH13" i="18"/>
  <c r="GZ13" i="18"/>
  <c r="HB13" i="18" s="1"/>
  <c r="GR13" i="18"/>
  <c r="GT13" i="18" s="1"/>
  <c r="GJ13" i="18"/>
  <c r="GB13" i="18"/>
  <c r="GD13" i="18" s="1"/>
  <c r="FT13" i="18"/>
  <c r="FL13" i="18"/>
  <c r="FD13" i="18"/>
  <c r="EV13" i="18"/>
  <c r="EN13" i="18"/>
  <c r="EF13" i="18"/>
  <c r="DX13" i="18"/>
  <c r="DP13" i="18"/>
  <c r="DQ13" i="18" s="1"/>
  <c r="DH13" i="18"/>
  <c r="DJ13" i="18" s="1"/>
  <c r="CZ13" i="18"/>
  <c r="BT13" i="18"/>
  <c r="BL13" i="18"/>
  <c r="BM13" i="18" s="1"/>
  <c r="BD13" i="18"/>
  <c r="AV13" i="18"/>
  <c r="AW13" i="18" s="1"/>
  <c r="AN13" i="18"/>
  <c r="AO13" i="18" s="1"/>
  <c r="AF13" i="18"/>
  <c r="AG13" i="18" s="1"/>
  <c r="X13" i="18"/>
  <c r="Y13" i="18" s="1"/>
  <c r="P13" i="18"/>
  <c r="HP12" i="18"/>
  <c r="HQ12" i="18" s="1"/>
  <c r="HH12" i="18"/>
  <c r="GZ12" i="18"/>
  <c r="HB12" i="18" s="1"/>
  <c r="GR12" i="18"/>
  <c r="GT12" i="18" s="1"/>
  <c r="GJ12" i="18"/>
  <c r="GB12" i="18"/>
  <c r="GD12" i="18" s="1"/>
  <c r="FT12" i="18"/>
  <c r="FL12" i="18"/>
  <c r="FD12" i="18"/>
  <c r="EV12" i="18"/>
  <c r="EN12" i="18"/>
  <c r="EF12" i="18"/>
  <c r="DX12" i="18"/>
  <c r="DP12" i="18"/>
  <c r="DQ12" i="18" s="1"/>
  <c r="DH12" i="18"/>
  <c r="DJ12" i="18" s="1"/>
  <c r="CZ12" i="18"/>
  <c r="BT12" i="18"/>
  <c r="BL12" i="18"/>
  <c r="BM12" i="18" s="1"/>
  <c r="BD12" i="18"/>
  <c r="AV12" i="18"/>
  <c r="AW12" i="18" s="1"/>
  <c r="AN12" i="18"/>
  <c r="AO12" i="18" s="1"/>
  <c r="AF12" i="18"/>
  <c r="AG12" i="18" s="1"/>
  <c r="X12" i="18"/>
  <c r="Y12" i="18" s="1"/>
  <c r="P12" i="18"/>
  <c r="HP11" i="18"/>
  <c r="HQ11" i="18" s="1"/>
  <c r="HH11" i="18"/>
  <c r="GZ11" i="18"/>
  <c r="HB11" i="18" s="1"/>
  <c r="GR11" i="18"/>
  <c r="GT11" i="18" s="1"/>
  <c r="GJ11" i="18"/>
  <c r="GB11" i="18"/>
  <c r="GD11" i="18" s="1"/>
  <c r="FT11" i="18"/>
  <c r="FL11" i="18"/>
  <c r="FD11" i="18"/>
  <c r="EV11" i="18"/>
  <c r="EN11" i="18"/>
  <c r="EF11" i="18"/>
  <c r="DX11" i="18"/>
  <c r="DP11" i="18"/>
  <c r="DQ11" i="18" s="1"/>
  <c r="DH11" i="18"/>
  <c r="DJ11" i="18" s="1"/>
  <c r="CZ11" i="18"/>
  <c r="BT11" i="18"/>
  <c r="BL11" i="18"/>
  <c r="BM11" i="18" s="1"/>
  <c r="BD11" i="18"/>
  <c r="AV11" i="18"/>
  <c r="AW11" i="18" s="1"/>
  <c r="AN11" i="18"/>
  <c r="AO11" i="18" s="1"/>
  <c r="AF11" i="18"/>
  <c r="AG11" i="18" s="1"/>
  <c r="X11" i="18"/>
  <c r="Y11" i="18" s="1"/>
  <c r="P11" i="18"/>
  <c r="HP10" i="18"/>
  <c r="HQ10" i="18" s="1"/>
  <c r="HH10" i="18"/>
  <c r="GZ10" i="18"/>
  <c r="HB10" i="18" s="1"/>
  <c r="GR10" i="18"/>
  <c r="GT10" i="18" s="1"/>
  <c r="GJ10" i="18"/>
  <c r="GB10" i="18"/>
  <c r="GD10" i="18" s="1"/>
  <c r="FT10" i="18"/>
  <c r="FL10" i="18"/>
  <c r="FD10" i="18"/>
  <c r="EV10" i="18"/>
  <c r="EN10" i="18"/>
  <c r="EF10" i="18"/>
  <c r="DX10" i="18"/>
  <c r="DP10" i="18"/>
  <c r="DQ10" i="18" s="1"/>
  <c r="DH10" i="18"/>
  <c r="DJ10" i="18" s="1"/>
  <c r="CZ10" i="18"/>
  <c r="BT10" i="18"/>
  <c r="BL10" i="18"/>
  <c r="BM10" i="18" s="1"/>
  <c r="BD10" i="18"/>
  <c r="AV10" i="18"/>
  <c r="AW10" i="18" s="1"/>
  <c r="AN10" i="18"/>
  <c r="AO10" i="18" s="1"/>
  <c r="AF10" i="18"/>
  <c r="AG10" i="18" s="1"/>
  <c r="X10" i="18"/>
  <c r="Y10" i="18" s="1"/>
  <c r="P10" i="18"/>
  <c r="EI35" i="18" l="1"/>
  <c r="EH35" i="18"/>
  <c r="AX35" i="18"/>
  <c r="GU35" i="18"/>
  <c r="AM35" i="18"/>
  <c r="EE35" i="18"/>
  <c r="EL35" i="18"/>
  <c r="HO35" i="18"/>
  <c r="HR35" i="18"/>
  <c r="AW32" i="18"/>
  <c r="AG28" i="18"/>
  <c r="BM28" i="18"/>
  <c r="AO32" i="18"/>
  <c r="GT28" i="18"/>
  <c r="GT35" i="18" s="1"/>
  <c r="S35" i="18"/>
  <c r="Y28" i="18"/>
  <c r="BM32" i="18"/>
  <c r="AO28" i="18"/>
  <c r="DJ28" i="18"/>
  <c r="DJ35" i="18" s="1"/>
  <c r="AG32" i="18"/>
  <c r="Y32" i="18"/>
  <c r="HQ32" i="18"/>
  <c r="HI28" i="18"/>
  <c r="HI35" i="18" s="1"/>
  <c r="BU35" i="18"/>
  <c r="CL35" i="18"/>
  <c r="DB35" i="18"/>
  <c r="DS35" i="18"/>
  <c r="DZ35" i="18"/>
  <c r="EX35" i="18"/>
  <c r="GE35" i="18"/>
  <c r="GK35" i="18"/>
  <c r="HC35" i="18"/>
  <c r="FO35" i="18"/>
  <c r="HQ28" i="18"/>
  <c r="GD28" i="18"/>
  <c r="GD35" i="18" s="1"/>
  <c r="EW35" i="18"/>
  <c r="FM35" i="18"/>
  <c r="GM35" i="18"/>
  <c r="Q35" i="18"/>
  <c r="AA35" i="18"/>
  <c r="BW35" i="18"/>
  <c r="DI35" i="18"/>
  <c r="FF35" i="18"/>
  <c r="FV35" i="18"/>
  <c r="GL35" i="18"/>
  <c r="HJ28" i="18"/>
  <c r="HJ35" i="18" s="1"/>
  <c r="EO35" i="18"/>
  <c r="DY35" i="18"/>
  <c r="FG35" i="18"/>
  <c r="J32" i="18"/>
  <c r="J39" i="18" s="1"/>
  <c r="K32" i="18"/>
  <c r="K39" i="18" s="1"/>
  <c r="FN35" i="18"/>
  <c r="F32" i="18"/>
  <c r="F39" i="18" s="1"/>
  <c r="HB28" i="18"/>
  <c r="HB35" i="18" s="1"/>
  <c r="EQ35" i="18"/>
  <c r="HA35" i="18"/>
  <c r="HK35" i="18"/>
  <c r="EM35" i="18"/>
  <c r="HN35" i="18"/>
  <c r="Z35" i="18"/>
  <c r="AP35" i="18"/>
  <c r="BF35" i="18"/>
  <c r="BV35" i="18"/>
  <c r="CE35" i="18"/>
  <c r="DA35" i="18"/>
  <c r="DK35" i="18"/>
  <c r="EG35" i="18"/>
  <c r="EP35" i="18"/>
  <c r="EY35" i="18"/>
  <c r="FE35" i="18"/>
  <c r="HS35" i="18"/>
  <c r="AD35" i="18"/>
  <c r="GC35" i="18"/>
  <c r="GS35" i="18"/>
  <c r="GA35" i="18"/>
  <c r="HG35" i="18"/>
  <c r="BE35" i="18"/>
  <c r="AL35" i="18"/>
  <c r="BS35" i="18"/>
  <c r="ED35" i="18"/>
  <c r="R35" i="18"/>
  <c r="AH35" i="18"/>
  <c r="AQ35" i="18"/>
  <c r="BG35" i="18"/>
  <c r="DC35" i="18"/>
  <c r="EA35" i="18"/>
  <c r="FU35" i="18"/>
  <c r="G32" i="18"/>
  <c r="G39" i="18" s="1"/>
  <c r="FB35" i="18"/>
  <c r="FW35" i="18"/>
  <c r="FQ35" i="18"/>
  <c r="BR35" i="18"/>
  <c r="ES35" i="18"/>
  <c r="W35" i="18"/>
  <c r="BC35" i="18"/>
  <c r="CY35" i="18"/>
  <c r="DE35" i="18"/>
  <c r="DO35" i="18"/>
  <c r="AT35" i="18"/>
  <c r="BJ35" i="18"/>
  <c r="CW35" i="18"/>
  <c r="DG35" i="18"/>
  <c r="EU35" i="18"/>
  <c r="BK35" i="18"/>
  <c r="FS35" i="18"/>
  <c r="FY35" i="18"/>
  <c r="GH35" i="18"/>
  <c r="N35" i="18"/>
  <c r="V35" i="18"/>
  <c r="AU35" i="18"/>
  <c r="CH35" i="18"/>
  <c r="CX35" i="18"/>
  <c r="DN35" i="18"/>
  <c r="GI35" i="18"/>
  <c r="GO35" i="18"/>
  <c r="GY35" i="18"/>
  <c r="AE35" i="18"/>
  <c r="DW35" i="18"/>
  <c r="FJ35" i="18"/>
  <c r="BB35" i="18"/>
  <c r="DV35" i="18"/>
  <c r="ET35" i="18"/>
  <c r="FR35" i="18"/>
  <c r="GG35" i="18"/>
  <c r="GQ35" i="18"/>
  <c r="GW35" i="18"/>
  <c r="X28" i="18"/>
  <c r="AN28" i="18"/>
  <c r="BD28" i="18"/>
  <c r="BT28" i="18"/>
  <c r="CZ28" i="18"/>
  <c r="EF28" i="18"/>
  <c r="EV28" i="18"/>
  <c r="FL28" i="18"/>
  <c r="GB28" i="18"/>
  <c r="GR28" i="18"/>
  <c r="HH28" i="18"/>
  <c r="P32" i="18"/>
  <c r="AF32" i="18"/>
  <c r="AV32" i="18"/>
  <c r="BL32" i="18"/>
  <c r="CB32" i="18"/>
  <c r="CR32" i="18"/>
  <c r="DH32" i="18"/>
  <c r="DX32" i="18"/>
  <c r="EN32" i="18"/>
  <c r="FD32" i="18"/>
  <c r="FT32" i="18"/>
  <c r="GJ32" i="18"/>
  <c r="GZ32" i="18"/>
  <c r="HP32" i="18"/>
  <c r="P28" i="18"/>
  <c r="AF28" i="18"/>
  <c r="FX32" i="18"/>
  <c r="GV32" i="18"/>
  <c r="BL28" i="18"/>
  <c r="DH28" i="18"/>
  <c r="DX28" i="18"/>
  <c r="EN28" i="18"/>
  <c r="FD28" i="18"/>
  <c r="FT28" i="18"/>
  <c r="GJ28" i="18"/>
  <c r="GZ28" i="18"/>
  <c r="HP28" i="18"/>
  <c r="EV32" i="18"/>
  <c r="FL32" i="18"/>
  <c r="GB32" i="18"/>
  <c r="GR32" i="18"/>
  <c r="HH32" i="18"/>
  <c r="X32" i="18"/>
  <c r="AN32" i="18"/>
  <c r="BD32" i="18"/>
  <c r="BT32" i="18"/>
  <c r="CZ32" i="18"/>
  <c r="EF32" i="18"/>
  <c r="WF30" i="2"/>
  <c r="AO35" i="18" l="1"/>
  <c r="BM35" i="18"/>
  <c r="AG35" i="18"/>
  <c r="HQ35" i="18"/>
  <c r="Y35" i="18"/>
  <c r="FT35" i="18"/>
  <c r="FT36" i="18" s="1"/>
  <c r="HP35" i="18"/>
  <c r="DH35" i="18"/>
  <c r="DH36" i="18" s="1"/>
  <c r="EF35" i="18"/>
  <c r="EF36" i="18" s="1"/>
  <c r="BT35" i="18"/>
  <c r="BT36" i="18" s="1"/>
  <c r="P35" i="18"/>
  <c r="P36" i="18" s="1"/>
  <c r="FL35" i="18"/>
  <c r="FL36" i="18" s="1"/>
  <c r="AN35" i="18"/>
  <c r="CZ35" i="18"/>
  <c r="CZ36" i="18" s="1"/>
  <c r="GZ35" i="18"/>
  <c r="GZ36" i="18" s="1"/>
  <c r="EN35" i="18"/>
  <c r="EN36" i="18" s="1"/>
  <c r="GB35" i="18"/>
  <c r="GB36" i="18" s="1"/>
  <c r="AF35" i="18"/>
  <c r="X35" i="18"/>
  <c r="BD35" i="18"/>
  <c r="BD36" i="18" s="1"/>
  <c r="GR35" i="18"/>
  <c r="GR36" i="18" s="1"/>
  <c r="FD35" i="18"/>
  <c r="FD36" i="18" s="1"/>
  <c r="GJ35" i="18"/>
  <c r="GJ36" i="18" s="1"/>
  <c r="DX35" i="18"/>
  <c r="DX36" i="18" s="1"/>
  <c r="BL35" i="18"/>
  <c r="HH35" i="18"/>
  <c r="HH36" i="18" s="1"/>
  <c r="EV35" i="18"/>
  <c r="EV36" i="18" s="1"/>
  <c r="G68" i="1"/>
  <c r="AN36" i="18" l="1"/>
  <c r="BL36" i="18"/>
  <c r="AF36" i="18"/>
  <c r="X36" i="18"/>
  <c r="HP36" i="18"/>
  <c r="MY33" i="2" l="1"/>
  <c r="DM33" i="2"/>
  <c r="DE33" i="2"/>
  <c r="SL33" i="2"/>
  <c r="DL13" i="2"/>
  <c r="DL14" i="2"/>
  <c r="DL15" i="2"/>
  <c r="DL16" i="2"/>
  <c r="DL17" i="2"/>
  <c r="DL18" i="2"/>
  <c r="DL19" i="2"/>
  <c r="DL20" i="2"/>
  <c r="DL21" i="2"/>
  <c r="DL22" i="2"/>
  <c r="DL23" i="2"/>
  <c r="DL24" i="2"/>
  <c r="DL25" i="2"/>
  <c r="DL26" i="2"/>
  <c r="DL27" i="2"/>
  <c r="DL28" i="2"/>
  <c r="DL29" i="2"/>
  <c r="DL12" i="2"/>
  <c r="DT13" i="2"/>
  <c r="DT14" i="2"/>
  <c r="DT15" i="2"/>
  <c r="DT16" i="2"/>
  <c r="DT17" i="2"/>
  <c r="DT18" i="2"/>
  <c r="DT19" i="2"/>
  <c r="DT20" i="2"/>
  <c r="DT21" i="2"/>
  <c r="DT22" i="2"/>
  <c r="DT23" i="2"/>
  <c r="DT24" i="2"/>
  <c r="DT25" i="2"/>
  <c r="DT26" i="2"/>
  <c r="DT27" i="2"/>
  <c r="DT28" i="2"/>
  <c r="DT29" i="2"/>
  <c r="DT12" i="2"/>
  <c r="CB11" i="18"/>
  <c r="DP25" i="18"/>
  <c r="AS12" i="4"/>
  <c r="AS16" i="4"/>
  <c r="AS23" i="4"/>
  <c r="AS24" i="4"/>
  <c r="AS8" i="4"/>
  <c r="DP31" i="18" l="1"/>
  <c r="DQ25" i="18"/>
  <c r="DQ28" i="18" s="1"/>
  <c r="DP28" i="18"/>
  <c r="M31" i="18"/>
  <c r="L31" i="18"/>
  <c r="D15" i="16"/>
  <c r="E15" i="16"/>
  <c r="C15" i="16"/>
  <c r="D25" i="16"/>
  <c r="E25" i="16"/>
  <c r="C25" i="16"/>
  <c r="DQ31" i="18" l="1"/>
  <c r="DQ32" i="18" s="1"/>
  <c r="DQ35" i="18" s="1"/>
  <c r="DP32" i="18"/>
  <c r="DP35" i="18" s="1"/>
  <c r="AH13" i="2"/>
  <c r="AH14" i="2"/>
  <c r="AH15" i="2"/>
  <c r="AH16" i="2"/>
  <c r="AH17" i="2"/>
  <c r="AH18" i="2"/>
  <c r="AH19" i="2"/>
  <c r="AH20" i="2"/>
  <c r="AH21" i="2"/>
  <c r="AH22" i="2"/>
  <c r="AH23" i="2"/>
  <c r="AH24" i="2"/>
  <c r="AH25" i="2"/>
  <c r="AH26" i="2"/>
  <c r="AH27" i="2"/>
  <c r="AH28" i="2"/>
  <c r="AH29" i="2"/>
  <c r="AH12" i="2"/>
  <c r="DP36" i="18" l="1"/>
  <c r="WE30" i="2"/>
  <c r="BB29" i="3" l="1"/>
  <c r="BB28" i="3"/>
  <c r="BC30" i="3"/>
  <c r="BC26" i="3"/>
  <c r="BB9" i="3"/>
  <c r="BB10" i="3"/>
  <c r="BB11" i="3"/>
  <c r="BB12" i="3"/>
  <c r="BB13" i="3"/>
  <c r="BB14" i="3"/>
  <c r="BB15" i="3"/>
  <c r="BB16" i="3"/>
  <c r="BB17" i="3"/>
  <c r="BB18" i="3"/>
  <c r="BB19" i="3"/>
  <c r="BB20" i="3"/>
  <c r="BB21" i="3"/>
  <c r="BB22" i="3"/>
  <c r="BB23" i="3"/>
  <c r="BB24" i="3"/>
  <c r="BB25" i="3"/>
  <c r="BB8" i="3"/>
  <c r="F254" i="8"/>
  <c r="D254" i="8"/>
  <c r="D252" i="8"/>
  <c r="E505" i="8"/>
  <c r="D234" i="8"/>
  <c r="D94" i="8"/>
  <c r="BC33" i="3" l="1"/>
  <c r="BB26" i="3"/>
  <c r="BB30" i="3"/>
  <c r="BB33" i="3" l="1"/>
  <c r="EG40" i="2" l="1"/>
  <c r="EE40" i="2"/>
  <c r="EW40" i="2"/>
  <c r="FM40" i="2"/>
  <c r="FK40" i="2"/>
  <c r="FS40" i="2"/>
  <c r="FY40" i="2"/>
  <c r="GE40" i="2"/>
  <c r="HU40" i="2"/>
  <c r="HS40" i="2"/>
  <c r="HQ40" i="2"/>
  <c r="HO40" i="2"/>
  <c r="KG40" i="2"/>
  <c r="KE40" i="2"/>
  <c r="KS40" i="2"/>
  <c r="KQ40" i="2"/>
  <c r="LB42" i="2"/>
  <c r="LA40" i="2"/>
  <c r="LA42" i="2" s="1"/>
  <c r="MU13" i="2"/>
  <c r="MV13" i="2"/>
  <c r="MW13" i="2"/>
  <c r="MX13" i="2"/>
  <c r="MU14" i="2"/>
  <c r="MV14" i="2"/>
  <c r="MW14" i="2"/>
  <c r="MX14" i="2"/>
  <c r="MU15" i="2"/>
  <c r="MV15" i="2"/>
  <c r="MW15" i="2"/>
  <c r="MX15" i="2"/>
  <c r="MU16" i="2"/>
  <c r="MV16" i="2"/>
  <c r="MW16" i="2"/>
  <c r="MX16" i="2"/>
  <c r="MU17" i="2"/>
  <c r="MV17" i="2"/>
  <c r="MW17" i="2"/>
  <c r="MX17" i="2"/>
  <c r="MU18" i="2"/>
  <c r="MV18" i="2"/>
  <c r="MW18" i="2"/>
  <c r="MX18" i="2"/>
  <c r="MU19" i="2"/>
  <c r="MV19" i="2"/>
  <c r="MW19" i="2"/>
  <c r="MX19" i="2"/>
  <c r="MU20" i="2"/>
  <c r="MV20" i="2"/>
  <c r="MW20" i="2"/>
  <c r="MX20" i="2"/>
  <c r="MU21" i="2"/>
  <c r="MV21" i="2"/>
  <c r="MW21" i="2"/>
  <c r="MX21" i="2"/>
  <c r="MU22" i="2"/>
  <c r="MV22" i="2"/>
  <c r="MW22" i="2"/>
  <c r="MX22" i="2"/>
  <c r="MU23" i="2"/>
  <c r="MV23" i="2"/>
  <c r="MW23" i="2"/>
  <c r="MX23" i="2"/>
  <c r="MU24" i="2"/>
  <c r="MV24" i="2"/>
  <c r="MW24" i="2"/>
  <c r="MX24" i="2"/>
  <c r="MU25" i="2"/>
  <c r="MV25" i="2"/>
  <c r="MW25" i="2"/>
  <c r="MX25" i="2"/>
  <c r="MU26" i="2"/>
  <c r="MV26" i="2"/>
  <c r="MW26" i="2"/>
  <c r="MX26" i="2"/>
  <c r="MU27" i="2"/>
  <c r="MV27" i="2"/>
  <c r="MW27" i="2"/>
  <c r="MX27" i="2"/>
  <c r="MU28" i="2"/>
  <c r="MV28" i="2"/>
  <c r="MW28" i="2"/>
  <c r="MX28" i="2"/>
  <c r="MU29" i="2"/>
  <c r="MV29" i="2"/>
  <c r="MW29" i="2"/>
  <c r="MX29" i="2"/>
  <c r="MV12" i="2"/>
  <c r="MW12" i="2"/>
  <c r="MX12" i="2"/>
  <c r="MU12" i="2"/>
  <c r="LS40" i="2"/>
  <c r="LQ40" i="2"/>
  <c r="LO40" i="2"/>
  <c r="NG40" i="2"/>
  <c r="PQ40" i="2"/>
  <c r="PE40" i="2"/>
  <c r="PC40" i="2"/>
  <c r="PA40" i="2"/>
  <c r="SJ32" i="2"/>
  <c r="TI40" i="2"/>
  <c r="VY20" i="2" l="1"/>
  <c r="E202" i="8" l="1"/>
  <c r="F202" i="8"/>
  <c r="E203" i="8"/>
  <c r="F203" i="8"/>
  <c r="D203" i="8"/>
  <c r="D202" i="8"/>
  <c r="D229" i="8"/>
  <c r="H228" i="8"/>
  <c r="G228" i="8"/>
  <c r="I228" i="8" s="1"/>
  <c r="H227" i="8"/>
  <c r="G227" i="8"/>
  <c r="I227" i="8" s="1"/>
  <c r="D225" i="8"/>
  <c r="H224" i="8"/>
  <c r="G224" i="8"/>
  <c r="I224" i="8" s="1"/>
  <c r="H223" i="8"/>
  <c r="G223" i="8"/>
  <c r="I223" i="8" s="1"/>
  <c r="J222" i="8"/>
  <c r="AY32" i="6"/>
  <c r="AY31" i="6"/>
  <c r="AY12" i="6"/>
  <c r="AY13" i="6"/>
  <c r="AY14" i="6"/>
  <c r="AY15" i="6"/>
  <c r="AY16" i="6"/>
  <c r="AY17" i="6"/>
  <c r="AY18" i="6"/>
  <c r="AY19" i="6"/>
  <c r="AY20" i="6"/>
  <c r="AY21" i="6"/>
  <c r="AY22" i="6"/>
  <c r="AY23" i="6"/>
  <c r="AY24" i="6"/>
  <c r="AY25" i="6"/>
  <c r="AY26" i="6"/>
  <c r="AY27" i="6"/>
  <c r="AY28" i="6"/>
  <c r="AY11" i="6"/>
  <c r="AY29" i="6" l="1"/>
  <c r="AY33" i="6"/>
  <c r="AY36" i="6" l="1"/>
  <c r="LM33" i="2"/>
  <c r="LL33" i="2"/>
  <c r="LM32" i="2"/>
  <c r="FP30" i="18" s="1"/>
  <c r="LL13" i="2"/>
  <c r="LM13" i="2"/>
  <c r="LL14" i="2"/>
  <c r="LM14" i="2"/>
  <c r="LL15" i="2"/>
  <c r="LM15" i="2"/>
  <c r="LL16" i="2"/>
  <c r="LM16" i="2"/>
  <c r="LL17" i="2"/>
  <c r="LM17" i="2"/>
  <c r="LL18" i="2"/>
  <c r="LM18" i="2"/>
  <c r="LL19" i="2"/>
  <c r="LM19" i="2"/>
  <c r="LL20" i="2"/>
  <c r="LM20" i="2"/>
  <c r="LL21" i="2"/>
  <c r="LM21" i="2"/>
  <c r="LL22" i="2"/>
  <c r="LM22" i="2"/>
  <c r="LL23" i="2"/>
  <c r="LM23" i="2"/>
  <c r="LL24" i="2"/>
  <c r="LM24" i="2"/>
  <c r="LL25" i="2"/>
  <c r="LM25" i="2"/>
  <c r="LL26" i="2"/>
  <c r="LM26" i="2"/>
  <c r="LL27" i="2"/>
  <c r="LM27" i="2"/>
  <c r="LL28" i="2"/>
  <c r="LM28" i="2"/>
  <c r="LL29" i="2"/>
  <c r="LM29" i="2"/>
  <c r="LM12" i="2"/>
  <c r="LL12" i="2"/>
  <c r="LN33" i="2"/>
  <c r="LN32" i="2"/>
  <c r="LN13" i="2"/>
  <c r="LN14" i="2"/>
  <c r="LN15" i="2"/>
  <c r="LN16" i="2"/>
  <c r="LN17" i="2"/>
  <c r="LN18" i="2"/>
  <c r="LN19" i="2"/>
  <c r="LN20" i="2"/>
  <c r="LN21" i="2"/>
  <c r="LN22" i="2"/>
  <c r="LN23" i="2"/>
  <c r="LN24" i="2"/>
  <c r="LN25" i="2"/>
  <c r="LN26" i="2"/>
  <c r="LN27" i="2"/>
  <c r="LN28" i="2"/>
  <c r="LN29" i="2"/>
  <c r="LN12" i="2"/>
  <c r="LS34" i="2"/>
  <c r="LT34" i="2"/>
  <c r="LS30" i="2"/>
  <c r="LT30" i="2"/>
  <c r="AX27" i="6" l="1"/>
  <c r="FP26" i="18"/>
  <c r="AX25" i="6"/>
  <c r="FP24" i="18"/>
  <c r="AX23" i="6"/>
  <c r="FP22" i="18"/>
  <c r="AX21" i="6"/>
  <c r="FP20" i="18"/>
  <c r="AX19" i="6"/>
  <c r="FP18" i="18"/>
  <c r="AX17" i="6"/>
  <c r="FP16" i="18"/>
  <c r="AX15" i="6"/>
  <c r="FP14" i="18"/>
  <c r="AX13" i="6"/>
  <c r="FP12" i="18"/>
  <c r="AX32" i="6"/>
  <c r="FP31" i="18"/>
  <c r="FP32" i="18" s="1"/>
  <c r="AX28" i="6"/>
  <c r="FP27" i="18"/>
  <c r="AX26" i="6"/>
  <c r="FP25" i="18"/>
  <c r="AX24" i="6"/>
  <c r="FP23" i="18"/>
  <c r="AX22" i="6"/>
  <c r="FP21" i="18"/>
  <c r="AX20" i="6"/>
  <c r="FP19" i="18"/>
  <c r="AX18" i="6"/>
  <c r="FP17" i="18"/>
  <c r="AX16" i="6"/>
  <c r="FP15" i="18"/>
  <c r="AX14" i="6"/>
  <c r="FP13" i="18"/>
  <c r="AX12" i="6"/>
  <c r="FP11" i="18"/>
  <c r="AX11" i="6"/>
  <c r="FP10" i="18"/>
  <c r="LL30" i="2"/>
  <c r="LM30" i="2"/>
  <c r="LM34" i="2"/>
  <c r="AX31" i="6"/>
  <c r="LT37" i="2"/>
  <c r="LS37" i="2"/>
  <c r="LS38" i="2" s="1"/>
  <c r="AX29" i="6" l="1"/>
  <c r="FP28" i="18"/>
  <c r="FP35" i="18" s="1"/>
  <c r="FP36" i="18" s="1"/>
  <c r="AX33" i="6"/>
  <c r="C36" i="7"/>
  <c r="LT38" i="2"/>
  <c r="LS42" i="2"/>
  <c r="F222" i="8"/>
  <c r="F225" i="8" s="1"/>
  <c r="LM37" i="2"/>
  <c r="B36" i="7" s="1"/>
  <c r="E104" i="8"/>
  <c r="E100" i="8"/>
  <c r="AX36" i="6" l="1"/>
  <c r="LT42" i="2"/>
  <c r="F226" i="8"/>
  <c r="F229" i="8" s="1"/>
  <c r="LM38" i="2"/>
  <c r="E226" i="8" s="1"/>
  <c r="H226" i="8" l="1"/>
  <c r="E229" i="8"/>
  <c r="H229" i="8" s="1"/>
  <c r="G226" i="8"/>
  <c r="I226" i="8" s="1"/>
  <c r="AP9" i="4"/>
  <c r="AP10" i="4"/>
  <c r="AP11" i="4"/>
  <c r="AP12" i="4"/>
  <c r="AP13" i="4"/>
  <c r="AP14" i="4"/>
  <c r="AP15" i="4"/>
  <c r="AP16" i="4"/>
  <c r="AP17" i="4"/>
  <c r="AP18" i="4"/>
  <c r="AP19" i="4"/>
  <c r="AP20" i="4"/>
  <c r="AP21" i="4"/>
  <c r="AP22" i="4"/>
  <c r="AP23" i="4"/>
  <c r="AQ23" i="4" s="1"/>
  <c r="AP24" i="4"/>
  <c r="AP25" i="4"/>
  <c r="AP8" i="4"/>
  <c r="AQ26" i="4"/>
  <c r="AO25" i="4"/>
  <c r="AO22" i="4"/>
  <c r="AO21" i="4"/>
  <c r="AO19" i="4"/>
  <c r="AO18" i="4"/>
  <c r="AO17" i="4"/>
  <c r="AO16" i="4"/>
  <c r="AO15" i="4"/>
  <c r="AO14" i="4"/>
  <c r="AO13" i="4"/>
  <c r="AO11" i="4"/>
  <c r="AO10" i="4"/>
  <c r="AO9" i="4"/>
  <c r="AO8" i="4"/>
  <c r="AL8" i="4"/>
  <c r="AL9" i="4"/>
  <c r="AL10" i="4"/>
  <c r="AL11" i="4"/>
  <c r="AL12" i="4"/>
  <c r="AL13" i="4"/>
  <c r="AL14" i="4"/>
  <c r="AL15" i="4"/>
  <c r="AL16" i="4"/>
  <c r="AL17" i="4"/>
  <c r="AL18" i="4"/>
  <c r="AL19" i="4"/>
  <c r="AL20" i="4"/>
  <c r="AL21" i="4"/>
  <c r="AL23" i="4"/>
  <c r="AL24" i="4"/>
  <c r="AL25" i="4"/>
  <c r="AM24" i="4" l="1"/>
  <c r="AM20" i="4"/>
  <c r="AM12" i="4"/>
  <c r="AM23" i="4"/>
  <c r="G229" i="8"/>
  <c r="I229" i="8" s="1"/>
  <c r="AN8" i="4"/>
  <c r="AN13" i="4"/>
  <c r="AN16" i="4"/>
  <c r="AN25" i="4"/>
  <c r="AN20" i="4"/>
  <c r="AN14" i="4"/>
  <c r="AN9" i="4"/>
  <c r="AN12" i="4"/>
  <c r="AN17" i="4"/>
  <c r="AN24" i="4"/>
  <c r="AN23" i="4"/>
  <c r="AN19" i="4"/>
  <c r="AN15" i="4"/>
  <c r="AN11" i="4"/>
  <c r="AN18" i="4"/>
  <c r="AN21" i="4"/>
  <c r="AP26" i="4"/>
  <c r="AN10" i="4"/>
  <c r="AO20" i="4" l="1"/>
  <c r="AO23" i="4"/>
  <c r="AO12" i="4"/>
  <c r="AO24" i="4"/>
  <c r="AM26" i="4"/>
  <c r="AM28" i="4" s="1"/>
  <c r="D206" i="8"/>
  <c r="D210" i="8"/>
  <c r="H106" i="8"/>
  <c r="G106" i="8"/>
  <c r="I106" i="8" s="1"/>
  <c r="H105" i="8"/>
  <c r="G105" i="8"/>
  <c r="I105" i="8" s="1"/>
  <c r="F107" i="8"/>
  <c r="H102" i="8"/>
  <c r="G102" i="8"/>
  <c r="H101" i="8"/>
  <c r="G101" i="8"/>
  <c r="F103" i="8"/>
  <c r="H100" i="8"/>
  <c r="D103" i="8"/>
  <c r="I102" i="8" l="1"/>
  <c r="I101" i="8"/>
  <c r="F27" i="8"/>
  <c r="AO26" i="4"/>
  <c r="D201" i="8"/>
  <c r="E103" i="8"/>
  <c r="H104" i="8"/>
  <c r="G104" i="8"/>
  <c r="I104" i="8" s="1"/>
  <c r="E107" i="8"/>
  <c r="H107" i="8" s="1"/>
  <c r="G100" i="8"/>
  <c r="D107" i="8"/>
  <c r="J100" i="8"/>
  <c r="I100" i="8" l="1"/>
  <c r="H103" i="8"/>
  <c r="G107" i="8"/>
  <c r="I107" i="8" s="1"/>
  <c r="G103" i="8"/>
  <c r="I103" i="8" l="1"/>
  <c r="VY23" i="2"/>
  <c r="BF29" i="3" l="1"/>
  <c r="BF28" i="3"/>
  <c r="BF9" i="3"/>
  <c r="BF10" i="3"/>
  <c r="BF11" i="3"/>
  <c r="BF12" i="3"/>
  <c r="BF13" i="3"/>
  <c r="BF14" i="3"/>
  <c r="BF15" i="3"/>
  <c r="BF16" i="3"/>
  <c r="BF17" i="3"/>
  <c r="BF18" i="3"/>
  <c r="BF19" i="3"/>
  <c r="BF20" i="3"/>
  <c r="BF21" i="3"/>
  <c r="BF22" i="3"/>
  <c r="BF23" i="3"/>
  <c r="BF24" i="3"/>
  <c r="BF25" i="3"/>
  <c r="BF8" i="3"/>
  <c r="BC61" i="2" l="1"/>
  <c r="BC58" i="2"/>
  <c r="BC55" i="2"/>
  <c r="BC54" i="2"/>
  <c r="AW61" i="2"/>
  <c r="AW58" i="2"/>
  <c r="AW55" i="2"/>
  <c r="AW54" i="2"/>
  <c r="AQ60" i="2"/>
  <c r="AQ59" i="2"/>
  <c r="AQ58" i="2"/>
  <c r="AQ56" i="2"/>
  <c r="AK60" i="2"/>
  <c r="AK59" i="2"/>
  <c r="AK58" i="2"/>
  <c r="AK56" i="2"/>
  <c r="BC13" i="2"/>
  <c r="BC14" i="2"/>
  <c r="BC15" i="2"/>
  <c r="BC16" i="2"/>
  <c r="BC17" i="2"/>
  <c r="BC18" i="2"/>
  <c r="BC19" i="2"/>
  <c r="BC20" i="2"/>
  <c r="BC21" i="2"/>
  <c r="BC22" i="2"/>
  <c r="BC23" i="2"/>
  <c r="BC24" i="2"/>
  <c r="BC25" i="2"/>
  <c r="BC26" i="2"/>
  <c r="BC27" i="2"/>
  <c r="BC28" i="2"/>
  <c r="BC29" i="2"/>
  <c r="BC12" i="2"/>
  <c r="CA29" i="2"/>
  <c r="CA28" i="2"/>
  <c r="CA27" i="2"/>
  <c r="CA26" i="2"/>
  <c r="CA25" i="2"/>
  <c r="CA24" i="2"/>
  <c r="CA23" i="2"/>
  <c r="CA22" i="2"/>
  <c r="CA21" i="2"/>
  <c r="CA20" i="2"/>
  <c r="CA19" i="2"/>
  <c r="CA18" i="2"/>
  <c r="CA17" i="2"/>
  <c r="CA16" i="2"/>
  <c r="CA15" i="2"/>
  <c r="CA14" i="2"/>
  <c r="CA13" i="2"/>
  <c r="CA12" i="2"/>
  <c r="NX60" i="2"/>
  <c r="NX59" i="2"/>
  <c r="NX58" i="2"/>
  <c r="NX56" i="2"/>
  <c r="NU60" i="2"/>
  <c r="NU59" i="2"/>
  <c r="NU58" i="2"/>
  <c r="NU56" i="2"/>
  <c r="NX33" i="2"/>
  <c r="NX32" i="2"/>
  <c r="NX29" i="2"/>
  <c r="NX28" i="2"/>
  <c r="NX27" i="2"/>
  <c r="NX26" i="2"/>
  <c r="NX25" i="2"/>
  <c r="NX24" i="2"/>
  <c r="NX23" i="2"/>
  <c r="NX22" i="2"/>
  <c r="NX21" i="2"/>
  <c r="NX20" i="2"/>
  <c r="NX19" i="2"/>
  <c r="NX18" i="2"/>
  <c r="NX17" i="2"/>
  <c r="NX16" i="2"/>
  <c r="NX15" i="2"/>
  <c r="NX14" i="2"/>
  <c r="NX13" i="2"/>
  <c r="NX12" i="2"/>
  <c r="NX34" i="2" l="1"/>
  <c r="NX30" i="2"/>
  <c r="NX37" i="2" l="1"/>
  <c r="OD34" i="2"/>
  <c r="OD29" i="2"/>
  <c r="OD28" i="2"/>
  <c r="OD27" i="2"/>
  <c r="OD26" i="2"/>
  <c r="OD25" i="2"/>
  <c r="OD24" i="2"/>
  <c r="OD23" i="2"/>
  <c r="OD22" i="2"/>
  <c r="OD21" i="2"/>
  <c r="OD20" i="2"/>
  <c r="OD19" i="2"/>
  <c r="OD18" i="2"/>
  <c r="OD17" i="2"/>
  <c r="OD16" i="2"/>
  <c r="OD15" i="2"/>
  <c r="OD14" i="2"/>
  <c r="OD13" i="2"/>
  <c r="OD12" i="2"/>
  <c r="OA13" i="2"/>
  <c r="OA14" i="2"/>
  <c r="OA15" i="2"/>
  <c r="OA16" i="2"/>
  <c r="OA17" i="2"/>
  <c r="OA18" i="2"/>
  <c r="OA19" i="2"/>
  <c r="OA20" i="2"/>
  <c r="OA21" i="2"/>
  <c r="OA22" i="2"/>
  <c r="OA23" i="2"/>
  <c r="OA24" i="2"/>
  <c r="OA25" i="2"/>
  <c r="OA26" i="2"/>
  <c r="OA27" i="2"/>
  <c r="OA28" i="2"/>
  <c r="OA29" i="2"/>
  <c r="OA12" i="2"/>
  <c r="OP34" i="2"/>
  <c r="OP29" i="2"/>
  <c r="OP28" i="2"/>
  <c r="OP27" i="2"/>
  <c r="OP26" i="2"/>
  <c r="OP25" i="2"/>
  <c r="OP24" i="2"/>
  <c r="OP23" i="2"/>
  <c r="OP22" i="2"/>
  <c r="OP21" i="2"/>
  <c r="OP20" i="2"/>
  <c r="OP19" i="2"/>
  <c r="OP18" i="2"/>
  <c r="OP17" i="2"/>
  <c r="OP16" i="2"/>
  <c r="OP15" i="2"/>
  <c r="OP14" i="2"/>
  <c r="OP13" i="2"/>
  <c r="OP12" i="2"/>
  <c r="OM34" i="2"/>
  <c r="OM29" i="2"/>
  <c r="OM28" i="2"/>
  <c r="OM27" i="2"/>
  <c r="OM26" i="2"/>
  <c r="OM25" i="2"/>
  <c r="OM24" i="2"/>
  <c r="OM23" i="2"/>
  <c r="OM22" i="2"/>
  <c r="OM21" i="2"/>
  <c r="OM20" i="2"/>
  <c r="OM19" i="2"/>
  <c r="OM18" i="2"/>
  <c r="OM17" i="2"/>
  <c r="OM16" i="2"/>
  <c r="OM15" i="2"/>
  <c r="OM14" i="2"/>
  <c r="OM13" i="2"/>
  <c r="OM12" i="2"/>
  <c r="OJ34" i="2"/>
  <c r="OJ29" i="2"/>
  <c r="OJ28" i="2"/>
  <c r="OJ27" i="2"/>
  <c r="OJ26" i="2"/>
  <c r="OJ25" i="2"/>
  <c r="OJ24" i="2"/>
  <c r="OJ23" i="2"/>
  <c r="OJ22" i="2"/>
  <c r="OJ21" i="2"/>
  <c r="OJ20" i="2"/>
  <c r="OJ19" i="2"/>
  <c r="OJ18" i="2"/>
  <c r="OJ17" i="2"/>
  <c r="OJ16" i="2"/>
  <c r="OJ15" i="2"/>
  <c r="OJ14" i="2"/>
  <c r="OJ13" i="2"/>
  <c r="OJ12" i="2"/>
  <c r="OG13" i="2"/>
  <c r="OG14" i="2"/>
  <c r="OG15" i="2"/>
  <c r="OG16" i="2"/>
  <c r="OG17" i="2"/>
  <c r="OG18" i="2"/>
  <c r="OG19" i="2"/>
  <c r="OG20" i="2"/>
  <c r="OG21" i="2"/>
  <c r="OG22" i="2"/>
  <c r="OG23" i="2"/>
  <c r="OG24" i="2"/>
  <c r="OG25" i="2"/>
  <c r="OG26" i="2"/>
  <c r="OG27" i="2"/>
  <c r="OG28" i="2"/>
  <c r="OG29" i="2"/>
  <c r="OG12" i="2"/>
  <c r="OD30" i="2" l="1"/>
  <c r="OD37" i="2" s="1"/>
  <c r="OJ30" i="2"/>
  <c r="OJ37" i="2" s="1"/>
  <c r="OM30" i="2"/>
  <c r="OM37" i="2" s="1"/>
  <c r="OP30" i="2"/>
  <c r="OP37" i="2" s="1"/>
  <c r="CA34" i="2" l="1"/>
  <c r="BU34" i="2"/>
  <c r="BO34" i="2"/>
  <c r="BI34" i="2"/>
  <c r="BC34" i="2"/>
  <c r="AW34" i="2"/>
  <c r="AQ33" i="2"/>
  <c r="AQ32" i="2"/>
  <c r="AQ29" i="2"/>
  <c r="AQ28" i="2"/>
  <c r="AQ27" i="2"/>
  <c r="AQ26" i="2"/>
  <c r="AQ25" i="2"/>
  <c r="AQ24" i="2"/>
  <c r="AQ23" i="2"/>
  <c r="AQ22" i="2"/>
  <c r="AQ20" i="2"/>
  <c r="AQ19" i="2"/>
  <c r="AQ17" i="2"/>
  <c r="AQ16" i="2"/>
  <c r="AQ15" i="2"/>
  <c r="AQ14" i="2"/>
  <c r="AQ13" i="2"/>
  <c r="CA30" i="2"/>
  <c r="BC30" i="2"/>
  <c r="AQ12" i="2"/>
  <c r="CA37" i="2" l="1"/>
  <c r="BC37" i="2"/>
  <c r="AR43" i="1" s="1"/>
  <c r="AQ34" i="2"/>
  <c r="AO32" i="6"/>
  <c r="AO31" i="6"/>
  <c r="AO12" i="6"/>
  <c r="AO13" i="6"/>
  <c r="AO14" i="6"/>
  <c r="AO15" i="6"/>
  <c r="AO16" i="6"/>
  <c r="AO17" i="6"/>
  <c r="AO18" i="6"/>
  <c r="AO19" i="6"/>
  <c r="AO20" i="6"/>
  <c r="AO21" i="6"/>
  <c r="AO22" i="6"/>
  <c r="AO23" i="6"/>
  <c r="AO24" i="6"/>
  <c r="AO25" i="6"/>
  <c r="AO26" i="6"/>
  <c r="AO27" i="6"/>
  <c r="AO28" i="6"/>
  <c r="AO11" i="6"/>
  <c r="KR34" i="2"/>
  <c r="KR30" i="2"/>
  <c r="KL33" i="2"/>
  <c r="KL32" i="2"/>
  <c r="EB30" i="18" s="1"/>
  <c r="KL13" i="2"/>
  <c r="KL14" i="2"/>
  <c r="KL15" i="2"/>
  <c r="KL16" i="2"/>
  <c r="KL17" i="2"/>
  <c r="KL18" i="2"/>
  <c r="KL19" i="2"/>
  <c r="KL20" i="2"/>
  <c r="KL21" i="2"/>
  <c r="KL22" i="2"/>
  <c r="KL23" i="2"/>
  <c r="KL24" i="2"/>
  <c r="KL25" i="2"/>
  <c r="KL26" i="2"/>
  <c r="KL27" i="2"/>
  <c r="KL28" i="2"/>
  <c r="KL29" i="2"/>
  <c r="KL12" i="2"/>
  <c r="D133" i="8"/>
  <c r="H132" i="8"/>
  <c r="G132" i="8"/>
  <c r="I132" i="8" s="1"/>
  <c r="J128" i="8"/>
  <c r="AN28" i="6" l="1"/>
  <c r="EB27" i="18"/>
  <c r="AN24" i="6"/>
  <c r="EB23" i="18"/>
  <c r="AN20" i="6"/>
  <c r="EB19" i="18"/>
  <c r="AN16" i="6"/>
  <c r="EB15" i="18"/>
  <c r="AN12" i="6"/>
  <c r="EB11" i="18"/>
  <c r="AN11" i="6"/>
  <c r="EB10" i="18"/>
  <c r="AN25" i="6"/>
  <c r="EB24" i="18"/>
  <c r="AN21" i="6"/>
  <c r="EB20" i="18"/>
  <c r="AN17" i="6"/>
  <c r="EB16" i="18"/>
  <c r="AN13" i="6"/>
  <c r="EB12" i="18"/>
  <c r="AN26" i="6"/>
  <c r="EB25" i="18"/>
  <c r="AN22" i="6"/>
  <c r="EB21" i="18"/>
  <c r="AN18" i="6"/>
  <c r="EB17" i="18"/>
  <c r="AN14" i="6"/>
  <c r="EB13" i="18"/>
  <c r="AN32" i="6"/>
  <c r="EB31" i="18"/>
  <c r="EC31" i="18" s="1"/>
  <c r="EC32" i="18" s="1"/>
  <c r="EC35" i="18" s="1"/>
  <c r="AN27" i="6"/>
  <c r="EB26" i="18"/>
  <c r="AN23" i="6"/>
  <c r="EB22" i="18"/>
  <c r="AN19" i="6"/>
  <c r="EB18" i="18"/>
  <c r="AN15" i="6"/>
  <c r="EB14" i="18"/>
  <c r="KR37" i="2"/>
  <c r="AO33" i="6"/>
  <c r="KL34" i="2"/>
  <c r="KL30" i="2"/>
  <c r="AN31" i="6"/>
  <c r="AO29" i="6"/>
  <c r="AN29" i="6" l="1"/>
  <c r="AN33" i="6"/>
  <c r="EB32" i="18"/>
  <c r="EB28" i="18"/>
  <c r="C26" i="7"/>
  <c r="KR42" i="2"/>
  <c r="F131" i="8"/>
  <c r="F133" i="8" s="1"/>
  <c r="AO36" i="6"/>
  <c r="KL37" i="2"/>
  <c r="B26" i="7" s="1"/>
  <c r="AN36" i="6" l="1"/>
  <c r="EB35" i="18"/>
  <c r="EB36" i="18" s="1"/>
  <c r="E131" i="8"/>
  <c r="H131" i="8" s="1"/>
  <c r="E133" i="8" l="1"/>
  <c r="H133" i="8" s="1"/>
  <c r="G131" i="8"/>
  <c r="I131" i="8" s="1"/>
  <c r="G133" i="8" l="1"/>
  <c r="I133" i="8" s="1"/>
  <c r="TR33" i="2"/>
  <c r="TR32" i="2"/>
  <c r="TR13" i="2"/>
  <c r="TR14" i="2"/>
  <c r="TR15" i="2"/>
  <c r="TR16" i="2"/>
  <c r="TR17" i="2"/>
  <c r="TR18" i="2"/>
  <c r="TR19" i="2"/>
  <c r="TR20" i="2"/>
  <c r="TR21" i="2"/>
  <c r="TR22" i="2"/>
  <c r="TR23" i="2"/>
  <c r="TR24" i="2"/>
  <c r="TR25" i="2"/>
  <c r="TR26" i="2"/>
  <c r="TR27" i="2"/>
  <c r="TR28" i="2"/>
  <c r="TR29" i="2"/>
  <c r="TR12" i="2"/>
  <c r="TV13" i="2"/>
  <c r="TU13" i="2" s="1"/>
  <c r="UA13" i="2" s="1"/>
  <c r="TY13" i="2" s="1"/>
  <c r="TV14" i="2"/>
  <c r="TU14" i="2" s="1"/>
  <c r="UA14" i="2" s="1"/>
  <c r="TY14" i="2" s="1"/>
  <c r="TV15" i="2"/>
  <c r="TU15" i="2" s="1"/>
  <c r="UA15" i="2" s="1"/>
  <c r="TY15" i="2" s="1"/>
  <c r="TV16" i="2"/>
  <c r="TU16" i="2" s="1"/>
  <c r="UA16" i="2" s="1"/>
  <c r="TY16" i="2" s="1"/>
  <c r="TV17" i="2"/>
  <c r="TU17" i="2" s="1"/>
  <c r="UA17" i="2" s="1"/>
  <c r="TY17" i="2" s="1"/>
  <c r="TV18" i="2"/>
  <c r="TU18" i="2" s="1"/>
  <c r="UA18" i="2" s="1"/>
  <c r="TY18" i="2" s="1"/>
  <c r="TV19" i="2"/>
  <c r="TU19" i="2" s="1"/>
  <c r="UA19" i="2" s="1"/>
  <c r="TY19" i="2" s="1"/>
  <c r="TV20" i="2"/>
  <c r="TU20" i="2" s="1"/>
  <c r="UA20" i="2" s="1"/>
  <c r="TY20" i="2" s="1"/>
  <c r="TV21" i="2"/>
  <c r="TU21" i="2" s="1"/>
  <c r="UA21" i="2" s="1"/>
  <c r="TY21" i="2" s="1"/>
  <c r="TV22" i="2"/>
  <c r="TU22" i="2" s="1"/>
  <c r="UA22" i="2" s="1"/>
  <c r="TY22" i="2" s="1"/>
  <c r="TV23" i="2"/>
  <c r="TU23" i="2" s="1"/>
  <c r="UA23" i="2" s="1"/>
  <c r="TY23" i="2" s="1"/>
  <c r="TV24" i="2"/>
  <c r="TU24" i="2" s="1"/>
  <c r="UA24" i="2" s="1"/>
  <c r="TY24" i="2" s="1"/>
  <c r="TV25" i="2"/>
  <c r="TU25" i="2" s="1"/>
  <c r="UA25" i="2" s="1"/>
  <c r="TY25" i="2" s="1"/>
  <c r="TV26" i="2"/>
  <c r="TU26" i="2" s="1"/>
  <c r="UA26" i="2" s="1"/>
  <c r="TY26" i="2" s="1"/>
  <c r="TV27" i="2"/>
  <c r="TU27" i="2" s="1"/>
  <c r="UA27" i="2" s="1"/>
  <c r="TY27" i="2" s="1"/>
  <c r="TV28" i="2"/>
  <c r="TU28" i="2" s="1"/>
  <c r="UA28" i="2" s="1"/>
  <c r="TY28" i="2" s="1"/>
  <c r="TV29" i="2"/>
  <c r="TU29" i="2" s="1"/>
  <c r="UA29" i="2" s="1"/>
  <c r="TY29" i="2" s="1"/>
  <c r="TV12" i="2"/>
  <c r="TU12" i="2" s="1"/>
  <c r="CK32" i="6"/>
  <c r="CK31" i="6"/>
  <c r="CK12" i="6"/>
  <c r="CK13" i="6"/>
  <c r="CK14" i="6"/>
  <c r="CK15" i="6"/>
  <c r="CK16" i="6"/>
  <c r="CK17" i="6"/>
  <c r="CK18" i="6"/>
  <c r="CK19" i="6"/>
  <c r="CK20" i="6"/>
  <c r="CK21" i="6"/>
  <c r="CK22" i="6"/>
  <c r="CK23" i="6"/>
  <c r="CK24" i="6"/>
  <c r="CK25" i="6"/>
  <c r="CK26" i="6"/>
  <c r="CK27" i="6"/>
  <c r="CK28" i="6"/>
  <c r="CK11" i="6"/>
  <c r="TV34" i="2"/>
  <c r="TT34" i="2"/>
  <c r="TT30" i="2"/>
  <c r="D12" i="11"/>
  <c r="H14" i="11"/>
  <c r="TQ12" i="2" l="1"/>
  <c r="TQ26" i="2"/>
  <c r="TQ22" i="2"/>
  <c r="TQ18" i="2"/>
  <c r="TQ14" i="2"/>
  <c r="TQ27" i="2"/>
  <c r="TQ23" i="2"/>
  <c r="TQ19" i="2"/>
  <c r="TQ15" i="2"/>
  <c r="TQ33" i="2"/>
  <c r="TQ28" i="2"/>
  <c r="TQ24" i="2"/>
  <c r="TQ20" i="2"/>
  <c r="TQ16" i="2"/>
  <c r="TQ32" i="2"/>
  <c r="TQ29" i="2"/>
  <c r="TQ25" i="2"/>
  <c r="TQ21" i="2"/>
  <c r="TQ17" i="2"/>
  <c r="TQ13" i="2"/>
  <c r="UA12" i="2"/>
  <c r="UA30" i="2" s="1"/>
  <c r="UA37" i="2" s="1"/>
  <c r="TU30" i="2"/>
  <c r="TU37" i="2" s="1"/>
  <c r="CJ32" i="6"/>
  <c r="CJ31" i="6"/>
  <c r="CJ24" i="6"/>
  <c r="CJ28" i="6"/>
  <c r="CJ16" i="6"/>
  <c r="CJ12" i="6"/>
  <c r="CJ15" i="6"/>
  <c r="CK33" i="6"/>
  <c r="TT37" i="2"/>
  <c r="CJ27" i="6"/>
  <c r="CJ23" i="6"/>
  <c r="CJ19" i="6"/>
  <c r="CK29" i="6"/>
  <c r="CJ20" i="6"/>
  <c r="CJ11" i="6"/>
  <c r="CJ25" i="6"/>
  <c r="CJ21" i="6"/>
  <c r="CJ17" i="6"/>
  <c r="TR30" i="2"/>
  <c r="CJ26" i="6"/>
  <c r="CJ22" i="6"/>
  <c r="CJ18" i="6"/>
  <c r="CJ14" i="6"/>
  <c r="TV30" i="2"/>
  <c r="TV37" i="2" s="1"/>
  <c r="TR34" i="2"/>
  <c r="CJ13" i="6"/>
  <c r="G14" i="11"/>
  <c r="TY12" i="2" l="1"/>
  <c r="TY30" i="2" s="1"/>
  <c r="TY37" i="2" s="1"/>
  <c r="TT38" i="2"/>
  <c r="C54" i="7" s="1"/>
  <c r="CJ33" i="6"/>
  <c r="CK36" i="6"/>
  <c r="TR37" i="2"/>
  <c r="TR38" i="2" s="1"/>
  <c r="CJ29" i="6"/>
  <c r="I14" i="11"/>
  <c r="TT42" i="2" l="1"/>
  <c r="F15" i="11"/>
  <c r="F43" i="11" s="1"/>
  <c r="CJ36" i="6"/>
  <c r="E15" i="11"/>
  <c r="E43" i="11" s="1"/>
  <c r="B54" i="7"/>
  <c r="G15" i="11" l="1"/>
  <c r="G43" i="11" s="1"/>
  <c r="H15" i="11"/>
  <c r="DE32" i="2"/>
  <c r="DE13" i="2"/>
  <c r="DG13" i="2"/>
  <c r="O11" i="18" s="1"/>
  <c r="DJ13" i="2"/>
  <c r="DK13" i="2"/>
  <c r="DE14" i="2"/>
  <c r="DG14" i="2"/>
  <c r="O12" i="18" s="1"/>
  <c r="DJ14" i="2"/>
  <c r="DK14" i="2"/>
  <c r="DE15" i="2"/>
  <c r="DG15" i="2"/>
  <c r="O13" i="18" s="1"/>
  <c r="DJ15" i="2"/>
  <c r="DK15" i="2"/>
  <c r="DE16" i="2"/>
  <c r="DG16" i="2"/>
  <c r="O14" i="18" s="1"/>
  <c r="DJ16" i="2"/>
  <c r="DK16" i="2"/>
  <c r="DE17" i="2"/>
  <c r="DG17" i="2"/>
  <c r="O15" i="18" s="1"/>
  <c r="DJ17" i="2"/>
  <c r="DK17" i="2"/>
  <c r="DE18" i="2"/>
  <c r="DG18" i="2"/>
  <c r="O16" i="18" s="1"/>
  <c r="DJ18" i="2"/>
  <c r="DK18" i="2"/>
  <c r="DE19" i="2"/>
  <c r="DG19" i="2"/>
  <c r="O17" i="18" s="1"/>
  <c r="DJ19" i="2"/>
  <c r="DK19" i="2"/>
  <c r="DE20" i="2"/>
  <c r="DG20" i="2"/>
  <c r="O18" i="18" s="1"/>
  <c r="DJ20" i="2"/>
  <c r="DK20" i="2"/>
  <c r="DE21" i="2"/>
  <c r="DG21" i="2"/>
  <c r="O19" i="18" s="1"/>
  <c r="DJ21" i="2"/>
  <c r="DK21" i="2"/>
  <c r="DE22" i="2"/>
  <c r="DG22" i="2"/>
  <c r="O20" i="18" s="1"/>
  <c r="DJ22" i="2"/>
  <c r="DK22" i="2"/>
  <c r="DE23" i="2"/>
  <c r="DG23" i="2"/>
  <c r="O21" i="18" s="1"/>
  <c r="DJ23" i="2"/>
  <c r="DK23" i="2"/>
  <c r="DE24" i="2"/>
  <c r="DG24" i="2"/>
  <c r="O22" i="18" s="1"/>
  <c r="DJ24" i="2"/>
  <c r="DK24" i="2"/>
  <c r="DE25" i="2"/>
  <c r="DG25" i="2"/>
  <c r="O23" i="18" s="1"/>
  <c r="DJ25" i="2"/>
  <c r="DK25" i="2"/>
  <c r="DE26" i="2"/>
  <c r="DG26" i="2"/>
  <c r="O24" i="18" s="1"/>
  <c r="DJ26" i="2"/>
  <c r="DK26" i="2"/>
  <c r="DE27" i="2"/>
  <c r="DG27" i="2"/>
  <c r="O25" i="18" s="1"/>
  <c r="DJ27" i="2"/>
  <c r="DK27" i="2"/>
  <c r="DE28" i="2"/>
  <c r="DG28" i="2"/>
  <c r="O26" i="18" s="1"/>
  <c r="DJ28" i="2"/>
  <c r="DK28" i="2"/>
  <c r="DE29" i="2"/>
  <c r="DG29" i="2"/>
  <c r="O27" i="18" s="1"/>
  <c r="DJ29" i="2"/>
  <c r="DK29" i="2"/>
  <c r="DK12" i="2"/>
  <c r="DG12" i="2"/>
  <c r="O10" i="18" s="1"/>
  <c r="DE12" i="2"/>
  <c r="BK30" i="1"/>
  <c r="BL30" i="1"/>
  <c r="BK31" i="1"/>
  <c r="BL31" i="1"/>
  <c r="BK32" i="1"/>
  <c r="BL32" i="1"/>
  <c r="BK34" i="1"/>
  <c r="BL34" i="1"/>
  <c r="BK35" i="1"/>
  <c r="BL35" i="1"/>
  <c r="O28" i="18" l="1"/>
  <c r="O35" i="18" s="1"/>
  <c r="M26" i="18"/>
  <c r="L26" i="18"/>
  <c r="M25" i="18"/>
  <c r="L25" i="18"/>
  <c r="M24" i="18"/>
  <c r="L24" i="18"/>
  <c r="M23" i="18"/>
  <c r="L23" i="18"/>
  <c r="M22" i="18"/>
  <c r="L22" i="18"/>
  <c r="M21" i="18"/>
  <c r="L21" i="18"/>
  <c r="M20" i="18"/>
  <c r="L20" i="18"/>
  <c r="M19" i="18"/>
  <c r="L19" i="18"/>
  <c r="M18" i="18"/>
  <c r="L18" i="18"/>
  <c r="M17" i="18"/>
  <c r="L17" i="18"/>
  <c r="M16" i="18"/>
  <c r="L16" i="18"/>
  <c r="M15" i="18"/>
  <c r="L15" i="18"/>
  <c r="M14" i="18"/>
  <c r="L14" i="18"/>
  <c r="M13" i="18"/>
  <c r="L13" i="18"/>
  <c r="M12" i="18"/>
  <c r="L12" i="18"/>
  <c r="M11" i="18"/>
  <c r="L11" i="18"/>
  <c r="M10" i="18"/>
  <c r="L10" i="18"/>
  <c r="M27" i="18"/>
  <c r="L27" i="18"/>
  <c r="M30" i="18"/>
  <c r="M32" i="18" s="1"/>
  <c r="L30" i="18"/>
  <c r="L32" i="18" s="1"/>
  <c r="I15" i="11"/>
  <c r="DI28" i="2"/>
  <c r="DI24" i="2"/>
  <c r="DI23" i="2"/>
  <c r="DI22" i="2"/>
  <c r="DI21" i="2"/>
  <c r="DI20" i="2"/>
  <c r="DI19" i="2"/>
  <c r="DI18" i="2"/>
  <c r="DI17" i="2"/>
  <c r="DI16" i="2"/>
  <c r="DI14" i="2"/>
  <c r="DI27" i="2"/>
  <c r="DI26" i="2"/>
  <c r="DI25" i="2"/>
  <c r="DI13" i="2"/>
  <c r="DI29" i="2"/>
  <c r="DI15" i="2"/>
  <c r="F29" i="3"/>
  <c r="G29" i="3" s="1"/>
  <c r="F28" i="3"/>
  <c r="F9" i="3"/>
  <c r="F10" i="3"/>
  <c r="F11" i="3"/>
  <c r="F12" i="3"/>
  <c r="F13" i="3"/>
  <c r="F14" i="3"/>
  <c r="G14" i="3" s="1"/>
  <c r="G26" i="3" s="1"/>
  <c r="F15" i="3"/>
  <c r="F16" i="3"/>
  <c r="F17" i="3"/>
  <c r="F18" i="3"/>
  <c r="F19" i="3"/>
  <c r="F20" i="3"/>
  <c r="F21" i="3"/>
  <c r="F22" i="3"/>
  <c r="F23" i="3"/>
  <c r="F24" i="3"/>
  <c r="F25" i="3"/>
  <c r="F8" i="3"/>
  <c r="G30" i="3"/>
  <c r="E441" i="8"/>
  <c r="F441" i="8"/>
  <c r="G441" i="8"/>
  <c r="D441" i="8"/>
  <c r="I445" i="8"/>
  <c r="H445" i="8"/>
  <c r="D444" i="8"/>
  <c r="D440" i="8" s="1"/>
  <c r="M28" i="18" l="1"/>
  <c r="M35" i="18" s="1"/>
  <c r="L28" i="18"/>
  <c r="L35" i="18" s="1"/>
  <c r="G33" i="3"/>
  <c r="G38" i="3" s="1"/>
  <c r="G40" i="3" s="1"/>
  <c r="D439" i="8"/>
  <c r="F30" i="3"/>
  <c r="F26" i="3"/>
  <c r="L36" i="18" l="1"/>
  <c r="F443" i="8"/>
  <c r="F444" i="8" s="1"/>
  <c r="F33" i="3"/>
  <c r="F38" i="3" s="1"/>
  <c r="E443" i="8" s="1"/>
  <c r="E439" i="8" s="1"/>
  <c r="D95" i="8"/>
  <c r="F439" i="8" l="1"/>
  <c r="H443" i="8"/>
  <c r="G443" i="8"/>
  <c r="G444" i="8" s="1"/>
  <c r="E444" i="8"/>
  <c r="E440" i="8" s="1"/>
  <c r="F440" i="8"/>
  <c r="D365" i="8"/>
  <c r="D368" i="8"/>
  <c r="I443" i="8" l="1"/>
  <c r="G439" i="8"/>
  <c r="H444" i="8"/>
  <c r="I444" i="8"/>
  <c r="G440" i="8"/>
  <c r="D278" i="8"/>
  <c r="VZ23" i="2" l="1"/>
  <c r="AM32" i="6" l="1"/>
  <c r="AM31" i="6"/>
  <c r="AM12" i="6"/>
  <c r="AM13" i="6"/>
  <c r="AM14" i="6"/>
  <c r="AM15" i="6"/>
  <c r="AM16" i="6"/>
  <c r="AM17" i="6"/>
  <c r="AM18" i="6"/>
  <c r="AM19" i="6"/>
  <c r="AM20" i="6"/>
  <c r="AM21" i="6"/>
  <c r="AM22" i="6"/>
  <c r="AM23" i="6"/>
  <c r="AM24" i="6"/>
  <c r="AM25" i="6"/>
  <c r="AM26" i="6"/>
  <c r="AM27" i="6"/>
  <c r="AM28" i="6"/>
  <c r="AM11" i="6"/>
  <c r="KD33" i="2"/>
  <c r="KD32" i="2"/>
  <c r="KD29" i="2"/>
  <c r="KD28" i="2"/>
  <c r="KD27" i="2"/>
  <c r="KD26" i="2"/>
  <c r="KD25" i="2"/>
  <c r="KD24" i="2"/>
  <c r="KD23" i="2"/>
  <c r="KD22" i="2"/>
  <c r="KD21" i="2"/>
  <c r="KD20" i="2"/>
  <c r="KD19" i="2"/>
  <c r="KD18" i="2"/>
  <c r="KD17" i="2"/>
  <c r="KD16" i="2"/>
  <c r="KD15" i="2"/>
  <c r="KD14" i="2"/>
  <c r="KD13" i="2"/>
  <c r="KD12" i="2"/>
  <c r="KC33" i="2"/>
  <c r="DT31" i="18" s="1"/>
  <c r="DU31" i="18" s="1"/>
  <c r="DU32" i="18" s="1"/>
  <c r="DU35" i="18" s="1"/>
  <c r="KC32" i="2"/>
  <c r="KC13" i="2"/>
  <c r="KC14" i="2"/>
  <c r="KC15" i="2"/>
  <c r="KC16" i="2"/>
  <c r="KC17" i="2"/>
  <c r="KC18" i="2"/>
  <c r="KC19" i="2"/>
  <c r="KC20" i="2"/>
  <c r="KC21" i="2"/>
  <c r="KC22" i="2"/>
  <c r="KC23" i="2"/>
  <c r="KC24" i="2"/>
  <c r="KC25" i="2"/>
  <c r="KC26" i="2"/>
  <c r="KC27" i="2"/>
  <c r="KC28" i="2"/>
  <c r="KC29" i="2"/>
  <c r="KC12" i="2"/>
  <c r="KH34" i="2"/>
  <c r="KG34" i="2"/>
  <c r="KH30" i="2"/>
  <c r="KG30" i="2"/>
  <c r="J309" i="8"/>
  <c r="D316" i="8"/>
  <c r="H315" i="8"/>
  <c r="G315" i="8"/>
  <c r="I315" i="8" s="1"/>
  <c r="H314" i="8"/>
  <c r="G314" i="8"/>
  <c r="I314" i="8" s="1"/>
  <c r="AL26" i="6" l="1"/>
  <c r="DT25" i="18"/>
  <c r="AL18" i="6"/>
  <c r="DT17" i="18"/>
  <c r="AL14" i="6"/>
  <c r="DT13" i="18"/>
  <c r="AL27" i="6"/>
  <c r="DT26" i="18"/>
  <c r="AL23" i="6"/>
  <c r="DT22" i="18"/>
  <c r="AL19" i="6"/>
  <c r="DT18" i="18"/>
  <c r="AL15" i="6"/>
  <c r="DT14" i="18"/>
  <c r="AL31" i="6"/>
  <c r="DT30" i="18"/>
  <c r="DT32" i="18" s="1"/>
  <c r="AL22" i="6"/>
  <c r="DT21" i="18"/>
  <c r="AL28" i="6"/>
  <c r="DT27" i="18"/>
  <c r="AL24" i="6"/>
  <c r="DT23" i="18"/>
  <c r="AL20" i="6"/>
  <c r="DT19" i="18"/>
  <c r="AL16" i="6"/>
  <c r="DT15" i="18"/>
  <c r="AL12" i="6"/>
  <c r="DT11" i="18"/>
  <c r="AL11" i="6"/>
  <c r="DT10" i="18"/>
  <c r="AL25" i="6"/>
  <c r="DT24" i="18"/>
  <c r="AL21" i="6"/>
  <c r="DT20" i="18"/>
  <c r="AL17" i="6"/>
  <c r="DT16" i="18"/>
  <c r="AL13" i="6"/>
  <c r="DT12" i="18"/>
  <c r="KH37" i="2"/>
  <c r="KD34" i="2"/>
  <c r="KG37" i="2"/>
  <c r="KG42" i="2" s="1"/>
  <c r="KD30" i="2"/>
  <c r="F313" i="8"/>
  <c r="F316" i="8" s="1"/>
  <c r="AM29" i="6"/>
  <c r="AM33" i="6"/>
  <c r="KC30" i="2"/>
  <c r="KC34" i="2"/>
  <c r="AL32" i="6"/>
  <c r="CG32" i="6"/>
  <c r="CG31" i="6"/>
  <c r="CG12" i="6"/>
  <c r="CG13" i="6"/>
  <c r="CG14" i="6"/>
  <c r="CG15" i="6"/>
  <c r="CG16" i="6"/>
  <c r="CG17" i="6"/>
  <c r="CG18" i="6"/>
  <c r="CG19" i="6"/>
  <c r="CG20" i="6"/>
  <c r="CG21" i="6"/>
  <c r="CG22" i="6"/>
  <c r="CG23" i="6"/>
  <c r="CG24" i="6"/>
  <c r="CG25" i="6"/>
  <c r="CG26" i="6"/>
  <c r="CG27" i="6"/>
  <c r="CG28" i="6"/>
  <c r="CG11" i="6"/>
  <c r="D41" i="11"/>
  <c r="D47" i="11" s="1"/>
  <c r="TL34" i="2"/>
  <c r="TK34" i="2"/>
  <c r="TL30" i="2"/>
  <c r="TK30" i="2"/>
  <c r="TC33" i="2"/>
  <c r="CF32" i="6" s="1"/>
  <c r="TB33" i="2"/>
  <c r="TC32" i="2"/>
  <c r="CF31" i="6" s="1"/>
  <c r="TB32" i="2"/>
  <c r="TB13" i="2"/>
  <c r="TC13" i="2"/>
  <c r="CF12" i="6" s="1"/>
  <c r="TB14" i="2"/>
  <c r="TC14" i="2"/>
  <c r="CF13" i="6" s="1"/>
  <c r="TB15" i="2"/>
  <c r="TC15" i="2"/>
  <c r="CF14" i="6" s="1"/>
  <c r="TB16" i="2"/>
  <c r="TC16" i="2"/>
  <c r="CF15" i="6" s="1"/>
  <c r="TB17" i="2"/>
  <c r="TC17" i="2"/>
  <c r="CF16" i="6" s="1"/>
  <c r="TB18" i="2"/>
  <c r="TC18" i="2"/>
  <c r="CF17" i="6" s="1"/>
  <c r="TB19" i="2"/>
  <c r="TC19" i="2"/>
  <c r="CF18" i="6" s="1"/>
  <c r="TB20" i="2"/>
  <c r="TC20" i="2"/>
  <c r="CF19" i="6" s="1"/>
  <c r="TB21" i="2"/>
  <c r="TC21" i="2"/>
  <c r="CF20" i="6" s="1"/>
  <c r="TB22" i="2"/>
  <c r="TC22" i="2"/>
  <c r="CF21" i="6" s="1"/>
  <c r="TB23" i="2"/>
  <c r="TC23" i="2"/>
  <c r="TB24" i="2"/>
  <c r="TC24" i="2"/>
  <c r="CF23" i="6" s="1"/>
  <c r="TB25" i="2"/>
  <c r="TC25" i="2"/>
  <c r="CF24" i="6" s="1"/>
  <c r="TB26" i="2"/>
  <c r="TC26" i="2"/>
  <c r="CF25" i="6" s="1"/>
  <c r="TB27" i="2"/>
  <c r="TC27" i="2"/>
  <c r="CF26" i="6" s="1"/>
  <c r="TB28" i="2"/>
  <c r="TC28" i="2"/>
  <c r="CF27" i="6" s="1"/>
  <c r="TB29" i="2"/>
  <c r="TC29" i="2"/>
  <c r="CF28" i="6" s="1"/>
  <c r="TC12" i="2"/>
  <c r="CF11" i="6" s="1"/>
  <c r="TB12" i="2"/>
  <c r="TF33" i="2"/>
  <c r="TF32" i="2"/>
  <c r="TF13" i="2"/>
  <c r="TF14" i="2"/>
  <c r="TF15" i="2"/>
  <c r="TF16" i="2"/>
  <c r="TF17" i="2"/>
  <c r="TF18" i="2"/>
  <c r="TF19" i="2"/>
  <c r="TF20" i="2"/>
  <c r="TF21" i="2"/>
  <c r="TF22" i="2"/>
  <c r="TF23" i="2"/>
  <c r="TF24" i="2"/>
  <c r="TF25" i="2"/>
  <c r="TF26" i="2"/>
  <c r="TF27" i="2"/>
  <c r="TF28" i="2"/>
  <c r="TF29" i="2"/>
  <c r="TF12" i="2"/>
  <c r="TO34" i="2"/>
  <c r="TO30" i="2"/>
  <c r="J27" i="11"/>
  <c r="AL29" i="6" l="1"/>
  <c r="DT28" i="18"/>
  <c r="DT35" i="18" s="1"/>
  <c r="DT36" i="18" s="1"/>
  <c r="C16" i="7"/>
  <c r="KH42" i="2"/>
  <c r="TO37" i="2"/>
  <c r="KD37" i="2"/>
  <c r="AM36" i="6"/>
  <c r="CG33" i="6"/>
  <c r="KC37" i="2"/>
  <c r="B16" i="7" s="1"/>
  <c r="TC34" i="2"/>
  <c r="AL33" i="6"/>
  <c r="CF33" i="6"/>
  <c r="TF30" i="2"/>
  <c r="TF34" i="2"/>
  <c r="CF22" i="6"/>
  <c r="CF29" i="6" s="1"/>
  <c r="TC30" i="2"/>
  <c r="TB34" i="2"/>
  <c r="CG29" i="6"/>
  <c r="TK37" i="2"/>
  <c r="TL37" i="2"/>
  <c r="TL42" i="2" s="1"/>
  <c r="TB30" i="2"/>
  <c r="F29" i="11" l="1"/>
  <c r="TO42" i="2"/>
  <c r="F27" i="11"/>
  <c r="TK42" i="2"/>
  <c r="AL36" i="6"/>
  <c r="TC37" i="2"/>
  <c r="B51" i="7" s="1"/>
  <c r="CG36" i="6"/>
  <c r="E313" i="8"/>
  <c r="E316" i="8" s="1"/>
  <c r="F28" i="11"/>
  <c r="C51" i="7"/>
  <c r="TB37" i="2"/>
  <c r="E27" i="11" s="1"/>
  <c r="G27" i="11" s="1"/>
  <c r="I27" i="11" s="1"/>
  <c r="TF37" i="2"/>
  <c r="E29" i="11" s="1"/>
  <c r="CF36" i="6"/>
  <c r="H29" i="11" l="1"/>
  <c r="E28" i="11"/>
  <c r="G28" i="11" s="1"/>
  <c r="I28" i="11" s="1"/>
  <c r="G313" i="8"/>
  <c r="I313" i="8" s="1"/>
  <c r="H313" i="8"/>
  <c r="G29" i="11"/>
  <c r="I29" i="11" s="1"/>
  <c r="H27" i="11"/>
  <c r="G316" i="8"/>
  <c r="I316" i="8" s="1"/>
  <c r="H316" i="8"/>
  <c r="F404" i="8"/>
  <c r="D404" i="8"/>
  <c r="E319" i="8"/>
  <c r="H28" i="11" l="1"/>
  <c r="D143" i="8"/>
  <c r="D109" i="8" s="1"/>
  <c r="D140" i="8"/>
  <c r="D74" i="8"/>
  <c r="D70" i="8"/>
  <c r="D58" i="8"/>
  <c r="D362" i="8"/>
  <c r="D346" i="8" s="1"/>
  <c r="D455" i="8"/>
  <c r="EQ13" i="2" l="1"/>
  <c r="ER13" i="2" s="1"/>
  <c r="EQ14" i="2"/>
  <c r="ER14" i="2" s="1"/>
  <c r="EQ15" i="2"/>
  <c r="ER15" i="2" s="1"/>
  <c r="EQ16" i="2"/>
  <c r="ER16" i="2" s="1"/>
  <c r="EQ17" i="2"/>
  <c r="ER17" i="2" s="1"/>
  <c r="EQ18" i="2"/>
  <c r="ER18" i="2" s="1"/>
  <c r="EQ19" i="2"/>
  <c r="ER19" i="2" s="1"/>
  <c r="EQ20" i="2"/>
  <c r="ER20" i="2" s="1"/>
  <c r="EQ21" i="2"/>
  <c r="ER21" i="2" s="1"/>
  <c r="EQ22" i="2"/>
  <c r="ER22" i="2" s="1"/>
  <c r="EQ23" i="2"/>
  <c r="ER23" i="2" s="1"/>
  <c r="EQ24" i="2"/>
  <c r="ER24" i="2" s="1"/>
  <c r="EQ25" i="2"/>
  <c r="ER25" i="2" s="1"/>
  <c r="EQ26" i="2"/>
  <c r="ER26" i="2" s="1"/>
  <c r="EQ27" i="2"/>
  <c r="ER27" i="2" s="1"/>
  <c r="EQ28" i="2"/>
  <c r="ER28" i="2" s="1"/>
  <c r="EQ29" i="2"/>
  <c r="ER29" i="2" s="1"/>
  <c r="EQ12" i="2"/>
  <c r="ER12" i="2" s="1"/>
  <c r="EM34" i="2"/>
  <c r="ER34" i="2"/>
  <c r="EQ34" i="2"/>
  <c r="EP34" i="2"/>
  <c r="EL13" i="2"/>
  <c r="EL14" i="2"/>
  <c r="EL15" i="2"/>
  <c r="EL16" i="2"/>
  <c r="EL17" i="2"/>
  <c r="EL18" i="2"/>
  <c r="EL19" i="2"/>
  <c r="EL20" i="2"/>
  <c r="EL21" i="2"/>
  <c r="EL22" i="2"/>
  <c r="EL23" i="2"/>
  <c r="EL24" i="2"/>
  <c r="EL25" i="2"/>
  <c r="EL26" i="2"/>
  <c r="EL27" i="2"/>
  <c r="EL28" i="2"/>
  <c r="EL29" i="2"/>
  <c r="EL12" i="2"/>
  <c r="EN34" i="2"/>
  <c r="EL34" i="2"/>
  <c r="ER30" i="2" l="1"/>
  <c r="ER37" i="2" s="1"/>
  <c r="EK12" i="2"/>
  <c r="EN12" i="2"/>
  <c r="EM12" i="2" s="1"/>
  <c r="EK28" i="2"/>
  <c r="EN28" i="2"/>
  <c r="EM28" i="2" s="1"/>
  <c r="EK24" i="2"/>
  <c r="EN24" i="2"/>
  <c r="EM24" i="2" s="1"/>
  <c r="EK20" i="2"/>
  <c r="EN20" i="2"/>
  <c r="EM20" i="2" s="1"/>
  <c r="EK16" i="2"/>
  <c r="EN16" i="2"/>
  <c r="EM16" i="2" s="1"/>
  <c r="EK29" i="2"/>
  <c r="EN29" i="2"/>
  <c r="EM29" i="2" s="1"/>
  <c r="EK25" i="2"/>
  <c r="EN25" i="2"/>
  <c r="EM25" i="2" s="1"/>
  <c r="EK21" i="2"/>
  <c r="EN21" i="2"/>
  <c r="EM21" i="2" s="1"/>
  <c r="EK17" i="2"/>
  <c r="EN17" i="2"/>
  <c r="EM17" i="2" s="1"/>
  <c r="EK13" i="2"/>
  <c r="EN13" i="2"/>
  <c r="EK26" i="2"/>
  <c r="EN26" i="2"/>
  <c r="EM26" i="2" s="1"/>
  <c r="EK22" i="2"/>
  <c r="EN22" i="2"/>
  <c r="EM22" i="2" s="1"/>
  <c r="EK18" i="2"/>
  <c r="EN18" i="2"/>
  <c r="EM18" i="2" s="1"/>
  <c r="EK14" i="2"/>
  <c r="EN14" i="2"/>
  <c r="EM14" i="2" s="1"/>
  <c r="EK27" i="2"/>
  <c r="EN27" i="2"/>
  <c r="EM27" i="2" s="1"/>
  <c r="EK23" i="2"/>
  <c r="EN23" i="2"/>
  <c r="EM23" i="2" s="1"/>
  <c r="EK19" i="2"/>
  <c r="EN19" i="2"/>
  <c r="EM19" i="2" s="1"/>
  <c r="EK15" i="2"/>
  <c r="EN15" i="2"/>
  <c r="EM15" i="2" s="1"/>
  <c r="EO12" i="2"/>
  <c r="EL30" i="2"/>
  <c r="EL37" i="2" s="1"/>
  <c r="EQ30" i="2"/>
  <c r="EQ37" i="2" s="1"/>
  <c r="EO34" i="2"/>
  <c r="EM13" i="2" l="1"/>
  <c r="EN30" i="2"/>
  <c r="EN37" i="2" s="1"/>
  <c r="QI13" i="2"/>
  <c r="QJ13" i="2"/>
  <c r="QK13" i="2"/>
  <c r="QL13" i="2"/>
  <c r="QO13" i="2"/>
  <c r="QP13" i="2"/>
  <c r="QI14" i="2"/>
  <c r="QJ14" i="2"/>
  <c r="QK14" i="2"/>
  <c r="QL14" i="2"/>
  <c r="QO14" i="2"/>
  <c r="QP14" i="2"/>
  <c r="QI15" i="2"/>
  <c r="QJ15" i="2"/>
  <c r="QK15" i="2"/>
  <c r="QL15" i="2"/>
  <c r="QO15" i="2"/>
  <c r="QP15" i="2"/>
  <c r="QI16" i="2"/>
  <c r="QJ16" i="2"/>
  <c r="QK16" i="2"/>
  <c r="QL16" i="2"/>
  <c r="QO16" i="2"/>
  <c r="QP16" i="2"/>
  <c r="QI17" i="2"/>
  <c r="QJ17" i="2"/>
  <c r="QK17" i="2"/>
  <c r="QL17" i="2"/>
  <c r="QO17" i="2"/>
  <c r="QP17" i="2"/>
  <c r="QI18" i="2"/>
  <c r="QJ18" i="2"/>
  <c r="QK18" i="2"/>
  <c r="QL18" i="2"/>
  <c r="QO18" i="2"/>
  <c r="QP18" i="2"/>
  <c r="QI19" i="2"/>
  <c r="QJ19" i="2"/>
  <c r="QK19" i="2"/>
  <c r="QL19" i="2"/>
  <c r="QO19" i="2"/>
  <c r="QP19" i="2"/>
  <c r="QI20" i="2"/>
  <c r="QJ20" i="2"/>
  <c r="QK20" i="2"/>
  <c r="QL20" i="2"/>
  <c r="QO20" i="2"/>
  <c r="QP20" i="2"/>
  <c r="QI21" i="2"/>
  <c r="QJ21" i="2"/>
  <c r="QK21" i="2"/>
  <c r="QL21" i="2"/>
  <c r="QO21" i="2"/>
  <c r="QP21" i="2"/>
  <c r="QI22" i="2"/>
  <c r="QJ22" i="2"/>
  <c r="QK22" i="2"/>
  <c r="QL22" i="2"/>
  <c r="QO22" i="2"/>
  <c r="QP22" i="2"/>
  <c r="QI23" i="2"/>
  <c r="QJ23" i="2"/>
  <c r="QK23" i="2"/>
  <c r="QL23" i="2"/>
  <c r="QO23" i="2"/>
  <c r="QP23" i="2"/>
  <c r="QI24" i="2"/>
  <c r="QJ24" i="2"/>
  <c r="QK24" i="2"/>
  <c r="QL24" i="2"/>
  <c r="QO24" i="2"/>
  <c r="QP24" i="2"/>
  <c r="QI25" i="2"/>
  <c r="QJ25" i="2"/>
  <c r="QK25" i="2"/>
  <c r="QL25" i="2"/>
  <c r="QO25" i="2"/>
  <c r="QP25" i="2"/>
  <c r="QI26" i="2"/>
  <c r="QJ26" i="2"/>
  <c r="QK26" i="2"/>
  <c r="QL26" i="2"/>
  <c r="QO26" i="2"/>
  <c r="QP26" i="2"/>
  <c r="QI27" i="2"/>
  <c r="QJ27" i="2"/>
  <c r="QK27" i="2"/>
  <c r="QL27" i="2"/>
  <c r="QO27" i="2"/>
  <c r="QP27" i="2"/>
  <c r="QI28" i="2"/>
  <c r="QJ28" i="2"/>
  <c r="QK28" i="2"/>
  <c r="QL28" i="2"/>
  <c r="QO28" i="2"/>
  <c r="QP28" i="2"/>
  <c r="QI29" i="2"/>
  <c r="QJ29" i="2"/>
  <c r="QK29" i="2"/>
  <c r="QL29" i="2"/>
  <c r="QO29" i="2"/>
  <c r="QP29" i="2"/>
  <c r="QP12" i="2"/>
  <c r="QO12" i="2"/>
  <c r="QL12" i="2"/>
  <c r="QK12" i="2"/>
  <c r="QJ12" i="2"/>
  <c r="QI12" i="2"/>
  <c r="PG34" i="2"/>
  <c r="OS60" i="2"/>
  <c r="OS59" i="2"/>
  <c r="OS58" i="2"/>
  <c r="OS56" i="2"/>
  <c r="OZ60" i="2"/>
  <c r="OZ59" i="2"/>
  <c r="OZ58" i="2"/>
  <c r="OZ56" i="2"/>
  <c r="PP61" i="2"/>
  <c r="PP60" i="2"/>
  <c r="PP58" i="2"/>
  <c r="PP57" i="2"/>
  <c r="PP56" i="2"/>
  <c r="PP54" i="2"/>
  <c r="PP53" i="2"/>
  <c r="PG61" i="2"/>
  <c r="PG60" i="2"/>
  <c r="PG58" i="2"/>
  <c r="PG57" i="2"/>
  <c r="PG56" i="2"/>
  <c r="QZ34" i="2" l="1"/>
  <c r="QQ34" i="2"/>
  <c r="QP34" i="2"/>
  <c r="QO34" i="2"/>
  <c r="QL34" i="2"/>
  <c r="QK34" i="2"/>
  <c r="QJ34" i="2"/>
  <c r="QI34" i="2"/>
  <c r="QH34" i="2"/>
  <c r="QG34" i="2"/>
  <c r="QF34" i="2"/>
  <c r="QC34" i="2"/>
  <c r="QB34" i="2"/>
  <c r="QA34" i="2"/>
  <c r="PZ34" i="2"/>
  <c r="PY34" i="2"/>
  <c r="PP34" i="2"/>
  <c r="OZ33" i="2"/>
  <c r="OZ32" i="2"/>
  <c r="QL30" i="2"/>
  <c r="QK30" i="2"/>
  <c r="QZ29" i="2"/>
  <c r="PP29" i="2"/>
  <c r="OZ29" i="2"/>
  <c r="QZ28" i="2"/>
  <c r="PP28" i="2"/>
  <c r="OZ28" i="2"/>
  <c r="QZ27" i="2"/>
  <c r="PP27" i="2"/>
  <c r="OZ27" i="2"/>
  <c r="QZ26" i="2"/>
  <c r="PP26" i="2"/>
  <c r="OZ26" i="2"/>
  <c r="QZ25" i="2"/>
  <c r="PP25" i="2"/>
  <c r="OZ25" i="2"/>
  <c r="QZ24" i="2"/>
  <c r="PP24" i="2"/>
  <c r="OZ24" i="2"/>
  <c r="QZ23" i="2"/>
  <c r="PP23" i="2"/>
  <c r="OZ23" i="2"/>
  <c r="QZ22" i="2"/>
  <c r="PP22" i="2"/>
  <c r="OZ22" i="2"/>
  <c r="QZ21" i="2"/>
  <c r="PP21" i="2"/>
  <c r="OZ21" i="2"/>
  <c r="QZ20" i="2"/>
  <c r="PP20" i="2"/>
  <c r="OZ20" i="2"/>
  <c r="QZ19" i="2"/>
  <c r="PP19" i="2"/>
  <c r="OZ19" i="2"/>
  <c r="QZ18" i="2"/>
  <c r="PP18" i="2"/>
  <c r="OZ18" i="2"/>
  <c r="QZ17" i="2"/>
  <c r="PP17" i="2"/>
  <c r="OZ17" i="2"/>
  <c r="QZ16" i="2"/>
  <c r="PP16" i="2"/>
  <c r="OZ16" i="2"/>
  <c r="QZ15" i="2"/>
  <c r="PP15" i="2"/>
  <c r="OZ15" i="2"/>
  <c r="QZ14" i="2"/>
  <c r="PP14" i="2"/>
  <c r="OZ14" i="2"/>
  <c r="QZ13" i="2"/>
  <c r="PP13" i="2"/>
  <c r="OZ13" i="2"/>
  <c r="QZ12" i="2"/>
  <c r="PP12" i="2"/>
  <c r="OZ12" i="2"/>
  <c r="RX12" i="2"/>
  <c r="SA12" i="2"/>
  <c r="SC12" i="2"/>
  <c r="RI13" i="2"/>
  <c r="RX13" i="2"/>
  <c r="SA13" i="2"/>
  <c r="SC13" i="2"/>
  <c r="RX14" i="2"/>
  <c r="SA14" i="2"/>
  <c r="SC14" i="2"/>
  <c r="RI15" i="2"/>
  <c r="RX15" i="2"/>
  <c r="SA15" i="2"/>
  <c r="SC15" i="2"/>
  <c r="RX16" i="2"/>
  <c r="SA16" i="2"/>
  <c r="SC16" i="2"/>
  <c r="RX17" i="2"/>
  <c r="SA17" i="2"/>
  <c r="SC17" i="2"/>
  <c r="RX18" i="2"/>
  <c r="SA18" i="2"/>
  <c r="SC18" i="2"/>
  <c r="RX19" i="2"/>
  <c r="SA19" i="2"/>
  <c r="SC19" i="2"/>
  <c r="RX20" i="2"/>
  <c r="SA20" i="2"/>
  <c r="SC20" i="2"/>
  <c r="RX21" i="2"/>
  <c r="SA21" i="2"/>
  <c r="SC21" i="2"/>
  <c r="RX22" i="2"/>
  <c r="SA22" i="2"/>
  <c r="SC22" i="2"/>
  <c r="RX23" i="2"/>
  <c r="SA23" i="2"/>
  <c r="SC23" i="2"/>
  <c r="RI24" i="2"/>
  <c r="RX24" i="2"/>
  <c r="SA24" i="2"/>
  <c r="SC24" i="2"/>
  <c r="RX25" i="2"/>
  <c r="SA25" i="2"/>
  <c r="SC25" i="2"/>
  <c r="RX26" i="2"/>
  <c r="SA26" i="2"/>
  <c r="SC26" i="2"/>
  <c r="RX27" i="2"/>
  <c r="SA27" i="2"/>
  <c r="SC27" i="2"/>
  <c r="RX28" i="2"/>
  <c r="SA28" i="2"/>
  <c r="SC28" i="2"/>
  <c r="RX29" i="2"/>
  <c r="SA29" i="2"/>
  <c r="SC29" i="2"/>
  <c r="SB30" i="2"/>
  <c r="SD30" i="2"/>
  <c r="RI32" i="2"/>
  <c r="RX32" i="2"/>
  <c r="SA32" i="2"/>
  <c r="SC32" i="2"/>
  <c r="RI33" i="2"/>
  <c r="RX33" i="2"/>
  <c r="SA33" i="2"/>
  <c r="SC33" i="2"/>
  <c r="RJ34" i="2"/>
  <c r="RM34" i="2"/>
  <c r="RN34" i="2"/>
  <c r="RO34" i="2"/>
  <c r="RP34" i="2"/>
  <c r="RQ34" i="2"/>
  <c r="RR34" i="2"/>
  <c r="SB34" i="2"/>
  <c r="SD34" i="2"/>
  <c r="RJ24" i="2" l="1"/>
  <c r="RJ15" i="2"/>
  <c r="RJ13" i="2"/>
  <c r="QK37" i="2"/>
  <c r="PS59" i="2" s="1"/>
  <c r="RX30" i="2"/>
  <c r="SD37" i="2"/>
  <c r="QL37" i="2"/>
  <c r="PT59" i="2" s="1"/>
  <c r="PP30" i="2"/>
  <c r="PP37" i="2" s="1"/>
  <c r="AR53" i="1" s="1"/>
  <c r="QJ30" i="2"/>
  <c r="QJ37" i="2" s="1"/>
  <c r="PR59" i="2" s="1"/>
  <c r="SB37" i="2"/>
  <c r="QO30" i="2"/>
  <c r="QO37" i="2" s="1"/>
  <c r="PW59" i="2" s="1"/>
  <c r="OZ30" i="2"/>
  <c r="QI30" i="2"/>
  <c r="QI37" i="2" s="1"/>
  <c r="PQ59" i="2" s="1"/>
  <c r="QZ30" i="2"/>
  <c r="QZ37" i="2" s="1"/>
  <c r="QP30" i="2"/>
  <c r="QP37" i="2" s="1"/>
  <c r="PX59" i="2" s="1"/>
  <c r="OZ34" i="2"/>
  <c r="SA34" i="2"/>
  <c r="RX34" i="2"/>
  <c r="SA30" i="2"/>
  <c r="SC30" i="2"/>
  <c r="SC34" i="2"/>
  <c r="RI34" i="2"/>
  <c r="RX37" i="2" l="1"/>
  <c r="SA37" i="2"/>
  <c r="OZ37" i="2"/>
  <c r="SC37" i="2"/>
  <c r="D416" i="8" l="1"/>
  <c r="F400" i="8"/>
  <c r="D400" i="8"/>
  <c r="D399" i="8"/>
  <c r="BP9" i="4" l="1"/>
  <c r="BQ9" i="4" s="1"/>
  <c r="BU9" i="4" s="1"/>
  <c r="BT9" i="4"/>
  <c r="BP10" i="4"/>
  <c r="BT10" i="4"/>
  <c r="BP11" i="4"/>
  <c r="BQ11" i="4" s="1"/>
  <c r="BU11" i="4" s="1"/>
  <c r="BT11" i="4"/>
  <c r="BP12" i="4"/>
  <c r="BQ12" i="4" s="1"/>
  <c r="BU12" i="4" s="1"/>
  <c r="BT12" i="4"/>
  <c r="BP13" i="4"/>
  <c r="BQ13" i="4" s="1"/>
  <c r="BU13" i="4" s="1"/>
  <c r="BT13" i="4"/>
  <c r="BP14" i="4"/>
  <c r="BQ14" i="4" s="1"/>
  <c r="BU14" i="4" s="1"/>
  <c r="BT14" i="4"/>
  <c r="BP15" i="4"/>
  <c r="BQ15" i="4" s="1"/>
  <c r="BU15" i="4" s="1"/>
  <c r="BT15" i="4"/>
  <c r="BP16" i="4"/>
  <c r="BQ16" i="4" s="1"/>
  <c r="BU16" i="4" s="1"/>
  <c r="BT16" i="4"/>
  <c r="BP17" i="4"/>
  <c r="BQ17" i="4" s="1"/>
  <c r="BU17" i="4" s="1"/>
  <c r="BT17" i="4"/>
  <c r="BP18" i="4"/>
  <c r="BQ18" i="4" s="1"/>
  <c r="BU18" i="4" s="1"/>
  <c r="BT18" i="4"/>
  <c r="BP19" i="4"/>
  <c r="BQ19" i="4" s="1"/>
  <c r="BU19" i="4" s="1"/>
  <c r="BT19" i="4"/>
  <c r="BP20" i="4"/>
  <c r="BQ20" i="4" s="1"/>
  <c r="BU20" i="4" s="1"/>
  <c r="BT20" i="4"/>
  <c r="BP21" i="4"/>
  <c r="BQ21" i="4" s="1"/>
  <c r="BU21" i="4" s="1"/>
  <c r="BT21" i="4"/>
  <c r="BP22" i="4"/>
  <c r="BQ22" i="4" s="1"/>
  <c r="BU22" i="4" s="1"/>
  <c r="BT22" i="4"/>
  <c r="BP23" i="4"/>
  <c r="BQ23" i="4" s="1"/>
  <c r="BU23" i="4" s="1"/>
  <c r="BT23" i="4"/>
  <c r="BP24" i="4"/>
  <c r="BQ24" i="4" s="1"/>
  <c r="BU24" i="4" s="1"/>
  <c r="BT24" i="4"/>
  <c r="BP25" i="4"/>
  <c r="BQ25" i="4" s="1"/>
  <c r="BU25" i="4" s="1"/>
  <c r="BT25" i="4"/>
  <c r="BT8" i="4"/>
  <c r="BP8" i="4"/>
  <c r="BQ8" i="4" s="1"/>
  <c r="BU8" i="4" s="1"/>
  <c r="BS26" i="4"/>
  <c r="BS29" i="4" s="1"/>
  <c r="BU26" i="4" l="1"/>
  <c r="BU29" i="4" s="1"/>
  <c r="BQ26" i="4"/>
  <c r="BQ29" i="4" s="1"/>
  <c r="BR23" i="4"/>
  <c r="BR19" i="4"/>
  <c r="BR15" i="4"/>
  <c r="BR9" i="4"/>
  <c r="BT26" i="4"/>
  <c r="BT29" i="4" s="1"/>
  <c r="BR18" i="4"/>
  <c r="BR8" i="4"/>
  <c r="BR20" i="4"/>
  <c r="BR13" i="4"/>
  <c r="BR14" i="4"/>
  <c r="BR10" i="4"/>
  <c r="BR24" i="4"/>
  <c r="BR17" i="4"/>
  <c r="BR21" i="4"/>
  <c r="BR12" i="4"/>
  <c r="BR25" i="4"/>
  <c r="BR22" i="4"/>
  <c r="BR16" i="4"/>
  <c r="BR11" i="4"/>
  <c r="BP26" i="4"/>
  <c r="AY36" i="3" l="1"/>
  <c r="AX36" i="3"/>
  <c r="BP29" i="4"/>
  <c r="BR26" i="4"/>
  <c r="BR29" i="4" s="1"/>
  <c r="WA28" i="2" l="1"/>
  <c r="WA25" i="2"/>
  <c r="WA18" i="2" l="1"/>
  <c r="WA12" i="2"/>
  <c r="WB27" i="2"/>
  <c r="WB25" i="2"/>
  <c r="WB22" i="2"/>
  <c r="WB18" i="2"/>
  <c r="WB17" i="2"/>
  <c r="WB15" i="2"/>
  <c r="WB14" i="2"/>
  <c r="WB12" i="2"/>
  <c r="M67" i="1" l="1"/>
  <c r="M66" i="1"/>
  <c r="E58" i="2" l="1"/>
  <c r="D58" i="2"/>
  <c r="BH9" i="4" l="1"/>
  <c r="BH10" i="4"/>
  <c r="BH11" i="4"/>
  <c r="BH12" i="4"/>
  <c r="BH13" i="4"/>
  <c r="BH14" i="4"/>
  <c r="BH15" i="4"/>
  <c r="BH16" i="4"/>
  <c r="BH17" i="4"/>
  <c r="BH19" i="4"/>
  <c r="BH20" i="4"/>
  <c r="BH21" i="4"/>
  <c r="BH22" i="4"/>
  <c r="BH23" i="4"/>
  <c r="BH24" i="4"/>
  <c r="BH25" i="4"/>
  <c r="BH8" i="4"/>
  <c r="BD9" i="4"/>
  <c r="BD10" i="4"/>
  <c r="BD11" i="4"/>
  <c r="BD12" i="4"/>
  <c r="BD13" i="4"/>
  <c r="BD14" i="4"/>
  <c r="BD15" i="4"/>
  <c r="BD16" i="4"/>
  <c r="BD17" i="4"/>
  <c r="BD19" i="4"/>
  <c r="BD20" i="4"/>
  <c r="BD21" i="4"/>
  <c r="BD22" i="4"/>
  <c r="BD23" i="4"/>
  <c r="BD24" i="4"/>
  <c r="BD25" i="4"/>
  <c r="BD8" i="4"/>
  <c r="BG26" i="4"/>
  <c r="BG29" i="4" s="1"/>
  <c r="E29" i="4" s="1"/>
  <c r="BE26" i="4"/>
  <c r="AQ36" i="3" s="1"/>
  <c r="BF20" i="4" l="1"/>
  <c r="BF15" i="4"/>
  <c r="BF12" i="4"/>
  <c r="BF24" i="4"/>
  <c r="BF13" i="4"/>
  <c r="BF17" i="4"/>
  <c r="BF9" i="4"/>
  <c r="BE29" i="4"/>
  <c r="C29" i="4" s="1"/>
  <c r="BF25" i="4"/>
  <c r="BF21" i="4"/>
  <c r="BF22" i="4"/>
  <c r="BF14" i="4"/>
  <c r="BF23" i="4"/>
  <c r="BF11" i="4"/>
  <c r="BF19" i="4"/>
  <c r="BF16" i="4"/>
  <c r="BF8" i="4"/>
  <c r="BF10" i="4"/>
  <c r="CV29" i="2" l="1"/>
  <c r="CV28" i="2"/>
  <c r="CV27" i="2"/>
  <c r="CV26" i="2"/>
  <c r="CV25" i="2"/>
  <c r="CV24" i="2"/>
  <c r="CV23" i="2"/>
  <c r="CV22" i="2"/>
  <c r="CV21" i="2"/>
  <c r="CV20" i="2"/>
  <c r="CV19" i="2"/>
  <c r="CV18" i="2"/>
  <c r="CV17" i="2"/>
  <c r="CV16" i="2"/>
  <c r="CV15" i="2"/>
  <c r="CV14" i="2"/>
  <c r="CV13" i="2"/>
  <c r="CV12" i="2"/>
  <c r="CL33" i="2"/>
  <c r="CL32" i="2"/>
  <c r="CL29" i="2"/>
  <c r="CL28" i="2"/>
  <c r="CL27" i="2"/>
  <c r="CL26" i="2"/>
  <c r="CL25" i="2"/>
  <c r="CL24" i="2"/>
  <c r="CL23" i="2"/>
  <c r="CL22" i="2"/>
  <c r="CL21" i="2"/>
  <c r="CL20" i="2"/>
  <c r="CL19" i="2"/>
  <c r="CL18" i="2"/>
  <c r="CL17" i="2"/>
  <c r="CL16" i="2"/>
  <c r="CL15" i="2"/>
  <c r="CL14" i="2"/>
  <c r="CL13" i="2"/>
  <c r="CL12" i="2"/>
  <c r="CL34" i="2" l="1"/>
  <c r="CQ34" i="2"/>
  <c r="CV34" i="2"/>
  <c r="CV30" i="2"/>
  <c r="CL30" i="2"/>
  <c r="CT34" i="2"/>
  <c r="CT13" i="2"/>
  <c r="CT14" i="2"/>
  <c r="CT15" i="2"/>
  <c r="CT16" i="2"/>
  <c r="CT17" i="2"/>
  <c r="CT18" i="2"/>
  <c r="CT19" i="2"/>
  <c r="CT20" i="2"/>
  <c r="CT21" i="2"/>
  <c r="CT22" i="2"/>
  <c r="CT23" i="2"/>
  <c r="CT24" i="2"/>
  <c r="CT25" i="2"/>
  <c r="CT26" i="2"/>
  <c r="CT27" i="2"/>
  <c r="CT28" i="2"/>
  <c r="CT29" i="2"/>
  <c r="CT12" i="2"/>
  <c r="DD29" i="2"/>
  <c r="DD28" i="2"/>
  <c r="DD27" i="2"/>
  <c r="DD26" i="2"/>
  <c r="DD25" i="2"/>
  <c r="DD24" i="2"/>
  <c r="DD23" i="2"/>
  <c r="DD22" i="2"/>
  <c r="DD21" i="2"/>
  <c r="DD20" i="2"/>
  <c r="DD19" i="2"/>
  <c r="DD18" i="2"/>
  <c r="DD17" i="2"/>
  <c r="DD16" i="2"/>
  <c r="DD15" i="2"/>
  <c r="DD14" i="2"/>
  <c r="DD13" i="2"/>
  <c r="CY34" i="2"/>
  <c r="CY30" i="2"/>
  <c r="CJ33" i="2"/>
  <c r="CJ32" i="2"/>
  <c r="CJ13" i="2"/>
  <c r="CJ14" i="2"/>
  <c r="CJ15" i="2"/>
  <c r="CJ16" i="2"/>
  <c r="CJ17" i="2"/>
  <c r="CJ18" i="2"/>
  <c r="CJ19" i="2"/>
  <c r="CJ20" i="2"/>
  <c r="CJ21" i="2"/>
  <c r="CJ22" i="2"/>
  <c r="CJ23" i="2"/>
  <c r="CJ24" i="2"/>
  <c r="CJ25" i="2"/>
  <c r="CJ26" i="2"/>
  <c r="CJ27" i="2"/>
  <c r="CJ28" i="2"/>
  <c r="CJ29" i="2"/>
  <c r="CJ12" i="2"/>
  <c r="CO34" i="2"/>
  <c r="CO30" i="2"/>
  <c r="CL37" i="2" l="1"/>
  <c r="CV37" i="2"/>
  <c r="DB21" i="2"/>
  <c r="DB25" i="2"/>
  <c r="DB29" i="2"/>
  <c r="DD12" i="2"/>
  <c r="DB28" i="2"/>
  <c r="DB26" i="2"/>
  <c r="DB24" i="2"/>
  <c r="DB22" i="2"/>
  <c r="DB20" i="2"/>
  <c r="DB18" i="2"/>
  <c r="DB16" i="2"/>
  <c r="DB14" i="2"/>
  <c r="DB27" i="2"/>
  <c r="DB23" i="2"/>
  <c r="DB19" i="2"/>
  <c r="DB17" i="2"/>
  <c r="DB15" i="2"/>
  <c r="DB13" i="2"/>
  <c r="CT30" i="2"/>
  <c r="CT37" i="2" s="1"/>
  <c r="CY37" i="2"/>
  <c r="CO37" i="2"/>
  <c r="CJ34" i="2"/>
  <c r="CJ30" i="2"/>
  <c r="DB12" i="2" l="1"/>
  <c r="CO38" i="2"/>
  <c r="F94" i="8" s="1"/>
  <c r="F95" i="8" s="1"/>
  <c r="CJ37" i="2"/>
  <c r="CJ38" i="2" s="1"/>
  <c r="E94" i="8" s="1"/>
  <c r="G96" i="8" l="1"/>
  <c r="I96" i="8" s="1"/>
  <c r="E95" i="8"/>
  <c r="CO41" i="2"/>
  <c r="G94" i="8"/>
  <c r="I94" i="8" s="1"/>
  <c r="H94" i="8"/>
  <c r="H96" i="8"/>
  <c r="G95" i="8" l="1"/>
  <c r="I95" i="8" s="1"/>
  <c r="H95" i="8"/>
  <c r="AZ13" i="2"/>
  <c r="AZ14" i="2"/>
  <c r="AZ15" i="2"/>
  <c r="AZ16" i="2"/>
  <c r="AZ17" i="2"/>
  <c r="AZ18" i="2"/>
  <c r="AZ19" i="2"/>
  <c r="AZ20" i="2"/>
  <c r="AZ21" i="2"/>
  <c r="AZ22" i="2"/>
  <c r="AZ23" i="2"/>
  <c r="AZ24" i="2"/>
  <c r="AZ25" i="2"/>
  <c r="AZ26" i="2"/>
  <c r="AZ27" i="2"/>
  <c r="AZ28" i="2"/>
  <c r="AZ29" i="2"/>
  <c r="AZ12" i="2"/>
  <c r="BF34" i="2"/>
  <c r="BF30" i="2"/>
  <c r="CD34" i="2"/>
  <c r="CD30" i="2"/>
  <c r="BX13" i="2"/>
  <c r="BX14" i="2"/>
  <c r="BX15" i="2"/>
  <c r="BX16" i="2"/>
  <c r="BX17" i="2"/>
  <c r="BX18" i="2"/>
  <c r="BX19" i="2"/>
  <c r="BX20" i="2"/>
  <c r="BX21" i="2"/>
  <c r="BX22" i="2"/>
  <c r="BX23" i="2"/>
  <c r="BX24" i="2"/>
  <c r="BX25" i="2"/>
  <c r="BX26" i="2"/>
  <c r="BX27" i="2"/>
  <c r="BX28" i="2"/>
  <c r="BX29" i="2"/>
  <c r="BX12" i="2"/>
  <c r="BR12" i="2"/>
  <c r="BR13" i="2"/>
  <c r="BR14" i="2"/>
  <c r="BR15" i="2"/>
  <c r="BR16" i="2"/>
  <c r="BR17" i="2"/>
  <c r="BR18" i="2"/>
  <c r="BR19" i="2"/>
  <c r="BR20" i="2"/>
  <c r="BR21" i="2"/>
  <c r="BR22" i="2"/>
  <c r="BR23" i="2"/>
  <c r="BR24" i="2"/>
  <c r="BR25" i="2"/>
  <c r="BR26" i="2"/>
  <c r="BR27" i="2"/>
  <c r="BR28" i="2"/>
  <c r="BR29" i="2"/>
  <c r="BR34" i="2"/>
  <c r="BL34" i="2"/>
  <c r="AZ34" i="2"/>
  <c r="BX34" i="2"/>
  <c r="D34" i="8"/>
  <c r="D52" i="8"/>
  <c r="C16" i="16" s="1"/>
  <c r="H51" i="8"/>
  <c r="G51" i="8"/>
  <c r="I51" i="8" s="1"/>
  <c r="CD37" i="2" l="1"/>
  <c r="BF37" i="2"/>
  <c r="BL27" i="2"/>
  <c r="BL23" i="2"/>
  <c r="BL19" i="2"/>
  <c r="BL15" i="2"/>
  <c r="AZ30" i="2"/>
  <c r="AZ37" i="2" s="1"/>
  <c r="E50" i="8" s="1"/>
  <c r="E52" i="8" s="1"/>
  <c r="D16" i="16" s="1"/>
  <c r="BL29" i="2"/>
  <c r="BL25" i="2"/>
  <c r="BL21" i="2"/>
  <c r="BL17" i="2"/>
  <c r="BL13" i="2"/>
  <c r="BL14" i="2"/>
  <c r="BL12" i="2"/>
  <c r="BL26" i="2"/>
  <c r="BL22" i="2"/>
  <c r="BL18" i="2"/>
  <c r="BL28" i="2"/>
  <c r="BL24" i="2"/>
  <c r="BL20" i="2"/>
  <c r="BL16" i="2"/>
  <c r="BX30" i="2"/>
  <c r="BX37" i="2" s="1"/>
  <c r="BR30" i="2"/>
  <c r="BR37" i="2" s="1"/>
  <c r="E160" i="8"/>
  <c r="F160" i="8"/>
  <c r="D160" i="8"/>
  <c r="D159" i="8"/>
  <c r="D171" i="8"/>
  <c r="H170" i="8"/>
  <c r="G170" i="8"/>
  <c r="I170" i="8" s="1"/>
  <c r="AD9" i="4"/>
  <c r="AD10" i="4"/>
  <c r="AD11" i="4"/>
  <c r="AD12" i="4"/>
  <c r="AD13" i="4"/>
  <c r="AD14" i="4"/>
  <c r="AD15" i="4"/>
  <c r="AD16" i="4"/>
  <c r="AD17" i="4"/>
  <c r="AD18" i="4"/>
  <c r="AD19" i="4"/>
  <c r="AD20" i="4"/>
  <c r="AD21" i="4"/>
  <c r="AD22" i="4"/>
  <c r="AD23" i="4"/>
  <c r="AD24" i="4"/>
  <c r="AD25" i="4"/>
  <c r="AD8" i="4"/>
  <c r="Z9" i="4"/>
  <c r="Z10" i="4"/>
  <c r="Z11" i="4"/>
  <c r="Z12" i="4"/>
  <c r="Z13" i="4"/>
  <c r="Z14" i="4"/>
  <c r="Z15" i="4"/>
  <c r="Z16" i="4"/>
  <c r="Z17" i="4"/>
  <c r="Z18" i="4"/>
  <c r="Z19" i="4"/>
  <c r="Z20" i="4"/>
  <c r="Z21" i="4"/>
  <c r="Z22" i="4"/>
  <c r="Z23" i="4"/>
  <c r="Z24" i="4"/>
  <c r="Z25" i="4"/>
  <c r="Z8" i="4"/>
  <c r="AE26" i="4"/>
  <c r="AA26" i="4"/>
  <c r="AC36" i="3" s="1"/>
  <c r="AC25" i="4"/>
  <c r="AC24" i="4"/>
  <c r="AC23" i="4"/>
  <c r="AC22" i="4"/>
  <c r="AC21" i="4"/>
  <c r="AC20" i="4"/>
  <c r="AC19" i="4"/>
  <c r="AC18" i="4"/>
  <c r="AC17" i="4"/>
  <c r="AC16" i="4"/>
  <c r="AC15" i="4"/>
  <c r="AC14" i="4"/>
  <c r="AC13" i="4"/>
  <c r="AC12" i="4"/>
  <c r="AC11" i="4"/>
  <c r="AC10" i="4"/>
  <c r="AC9" i="4"/>
  <c r="AC8" i="4"/>
  <c r="AB29" i="3"/>
  <c r="AB28" i="3"/>
  <c r="AB9" i="3"/>
  <c r="AB10" i="3"/>
  <c r="AB11" i="3"/>
  <c r="AB12" i="3"/>
  <c r="AB13" i="3"/>
  <c r="AB14" i="3"/>
  <c r="AB15" i="3"/>
  <c r="AB16" i="3"/>
  <c r="AB17" i="3"/>
  <c r="AB18" i="3"/>
  <c r="AB19" i="3"/>
  <c r="AB20" i="3"/>
  <c r="AB21" i="3"/>
  <c r="AB22" i="3"/>
  <c r="AB23" i="3"/>
  <c r="AB24" i="3"/>
  <c r="AB25" i="3"/>
  <c r="AB8" i="3"/>
  <c r="AC30" i="3"/>
  <c r="AC26" i="3"/>
  <c r="KB33" i="2"/>
  <c r="KB32" i="2"/>
  <c r="KB13" i="2"/>
  <c r="KB14" i="2"/>
  <c r="KB15" i="2"/>
  <c r="KB16" i="2"/>
  <c r="KB17" i="2"/>
  <c r="KB18" i="2"/>
  <c r="KB19" i="2"/>
  <c r="KB20" i="2"/>
  <c r="KB21" i="2"/>
  <c r="KB22" i="2"/>
  <c r="KB23" i="2"/>
  <c r="KB24" i="2"/>
  <c r="KB25" i="2"/>
  <c r="KB26" i="2"/>
  <c r="KB27" i="2"/>
  <c r="KB28" i="2"/>
  <c r="KB29" i="2"/>
  <c r="KB12" i="2"/>
  <c r="F50" i="8" l="1"/>
  <c r="F52" i="8" s="1"/>
  <c r="E16" i="16" s="1"/>
  <c r="BF41" i="2"/>
  <c r="JY29" i="2"/>
  <c r="AB17" i="4"/>
  <c r="AB25" i="4"/>
  <c r="AB9" i="4"/>
  <c r="AB21" i="4"/>
  <c r="AB13" i="4"/>
  <c r="AB23" i="4"/>
  <c r="AB11" i="4"/>
  <c r="AB24" i="4"/>
  <c r="AB20" i="4"/>
  <c r="AB16" i="4"/>
  <c r="AB12" i="4"/>
  <c r="AB14" i="4"/>
  <c r="AC33" i="3"/>
  <c r="AC38" i="3" s="1"/>
  <c r="AB30" i="3"/>
  <c r="BL30" i="2"/>
  <c r="BL37" i="2" s="1"/>
  <c r="G52" i="8"/>
  <c r="G50" i="8"/>
  <c r="I50" i="8" s="1"/>
  <c r="AB22" i="4"/>
  <c r="AB18" i="4"/>
  <c r="AD26" i="4"/>
  <c r="AB19" i="4"/>
  <c r="AB15" i="4"/>
  <c r="AC26" i="4"/>
  <c r="Z26" i="4"/>
  <c r="AB36" i="3" s="1"/>
  <c r="AB10" i="4"/>
  <c r="AB8" i="4"/>
  <c r="AB26" i="3"/>
  <c r="KB34" i="2"/>
  <c r="KB30" i="2"/>
  <c r="I52" i="8" l="1"/>
  <c r="F16" i="16"/>
  <c r="H50" i="8"/>
  <c r="F309" i="8"/>
  <c r="AB33" i="3"/>
  <c r="H52" i="8"/>
  <c r="AC40" i="3"/>
  <c r="F169" i="8"/>
  <c r="AB26" i="4"/>
  <c r="KB37" i="2"/>
  <c r="E309" i="8" s="1"/>
  <c r="F171" i="8" l="1"/>
  <c r="E312" i="8" l="1"/>
  <c r="D312" i="8"/>
  <c r="H311" i="8"/>
  <c r="G311" i="8"/>
  <c r="I311" i="8" s="1"/>
  <c r="H310" i="8"/>
  <c r="G310" i="8"/>
  <c r="I310" i="8" s="1"/>
  <c r="H309" i="8"/>
  <c r="G309" i="8"/>
  <c r="I309" i="8" s="1"/>
  <c r="F312" i="8" l="1"/>
  <c r="H312" i="8" s="1"/>
  <c r="G312" i="8"/>
  <c r="I312" i="8" s="1"/>
  <c r="D447" i="8"/>
  <c r="D458" i="8"/>
  <c r="D459" i="8" l="1"/>
  <c r="D221" i="8" l="1"/>
  <c r="D217" i="8"/>
  <c r="G211" i="8"/>
  <c r="G212" i="8"/>
  <c r="D213" i="8"/>
  <c r="D209" i="8"/>
  <c r="D233" i="8"/>
  <c r="D237" i="8"/>
  <c r="D199" i="8"/>
  <c r="D250" i="8"/>
  <c r="D430" i="8" l="1"/>
  <c r="D427" i="8"/>
  <c r="D424" i="8"/>
  <c r="D421" i="8"/>
  <c r="H271" i="8" l="1"/>
  <c r="I271" i="8"/>
  <c r="H272" i="8"/>
  <c r="I272" i="8"/>
  <c r="D269" i="8" l="1"/>
  <c r="D273" i="8"/>
  <c r="WG12" i="2"/>
  <c r="WH12" i="2"/>
  <c r="WG13" i="2"/>
  <c r="WH13" i="2"/>
  <c r="WG14" i="2"/>
  <c r="WH14" i="2"/>
  <c r="WG15" i="2"/>
  <c r="WH15" i="2"/>
  <c r="WG16" i="2"/>
  <c r="WH16" i="2"/>
  <c r="WG17" i="2"/>
  <c r="WH17" i="2"/>
  <c r="WG18" i="2"/>
  <c r="WH18" i="2"/>
  <c r="WG19" i="2"/>
  <c r="WH19" i="2"/>
  <c r="WG20" i="2"/>
  <c r="WH20" i="2"/>
  <c r="WG21" i="2"/>
  <c r="WH21" i="2"/>
  <c r="WG22" i="2"/>
  <c r="WH22" i="2"/>
  <c r="WG23" i="2"/>
  <c r="WH23" i="2"/>
  <c r="WG24" i="2"/>
  <c r="WH24" i="2"/>
  <c r="WG25" i="2"/>
  <c r="WH25" i="2"/>
  <c r="WG26" i="2"/>
  <c r="WH26" i="2"/>
  <c r="WG27" i="2"/>
  <c r="WH27" i="2"/>
  <c r="WG28" i="2"/>
  <c r="WH28" i="2"/>
  <c r="WG29" i="2"/>
  <c r="WH29" i="2"/>
  <c r="WG31" i="2"/>
  <c r="WH31" i="2"/>
  <c r="WG32" i="2"/>
  <c r="WH32" i="2"/>
  <c r="WG33" i="2"/>
  <c r="WH33" i="2"/>
  <c r="WG35" i="2"/>
  <c r="WH35" i="2"/>
  <c r="WG36" i="2"/>
  <c r="WH36" i="2"/>
  <c r="VU12" i="2"/>
  <c r="VV12" i="2"/>
  <c r="WC12" i="2"/>
  <c r="WD12" i="2"/>
  <c r="VU13" i="2"/>
  <c r="VV13" i="2"/>
  <c r="WC13" i="2"/>
  <c r="WD13" i="2"/>
  <c r="VU14" i="2"/>
  <c r="VV14" i="2"/>
  <c r="WC14" i="2"/>
  <c r="WD14" i="2"/>
  <c r="VU15" i="2"/>
  <c r="VV15" i="2"/>
  <c r="WC15" i="2"/>
  <c r="WD15" i="2"/>
  <c r="VU16" i="2"/>
  <c r="VV16" i="2"/>
  <c r="WC16" i="2"/>
  <c r="WD16" i="2"/>
  <c r="VU17" i="2"/>
  <c r="VV17" i="2"/>
  <c r="WC17" i="2"/>
  <c r="WD17" i="2"/>
  <c r="VU18" i="2"/>
  <c r="VV18" i="2"/>
  <c r="WC18" i="2"/>
  <c r="WD18" i="2"/>
  <c r="VU19" i="2"/>
  <c r="VV19" i="2"/>
  <c r="WC19" i="2"/>
  <c r="WD19" i="2"/>
  <c r="VU20" i="2"/>
  <c r="VV20" i="2"/>
  <c r="WC20" i="2"/>
  <c r="WD20" i="2"/>
  <c r="VU21" i="2"/>
  <c r="VV21" i="2"/>
  <c r="WC21" i="2"/>
  <c r="WD21" i="2"/>
  <c r="VU22" i="2"/>
  <c r="VV22" i="2"/>
  <c r="WC22" i="2"/>
  <c r="WD22" i="2"/>
  <c r="VU23" i="2"/>
  <c r="VV23" i="2"/>
  <c r="WC23" i="2"/>
  <c r="WD23" i="2"/>
  <c r="VU24" i="2"/>
  <c r="VV24" i="2"/>
  <c r="WC24" i="2"/>
  <c r="WD24" i="2"/>
  <c r="VU25" i="2"/>
  <c r="VV25" i="2"/>
  <c r="WC25" i="2"/>
  <c r="WD25" i="2"/>
  <c r="VU26" i="2"/>
  <c r="VV26" i="2"/>
  <c r="WC26" i="2"/>
  <c r="WD26" i="2"/>
  <c r="VU27" i="2"/>
  <c r="VV27" i="2"/>
  <c r="WC27" i="2"/>
  <c r="WD27" i="2"/>
  <c r="VU28" i="2"/>
  <c r="VV28" i="2"/>
  <c r="WC28" i="2"/>
  <c r="WD28" i="2"/>
  <c r="VU29" i="2"/>
  <c r="VV29" i="2"/>
  <c r="WC29" i="2"/>
  <c r="WD29" i="2"/>
  <c r="VQ30" i="2"/>
  <c r="VR30" i="2"/>
  <c r="VS30" i="2"/>
  <c r="VT30" i="2"/>
  <c r="VW30" i="2"/>
  <c r="VX30" i="2"/>
  <c r="VY30" i="2"/>
  <c r="VZ30" i="2"/>
  <c r="WA30" i="2"/>
  <c r="WB30" i="2"/>
  <c r="VO32" i="2"/>
  <c r="VP32" i="2"/>
  <c r="VO33" i="2"/>
  <c r="VP33" i="2"/>
  <c r="VQ34" i="2"/>
  <c r="VR34" i="2"/>
  <c r="VS34" i="2"/>
  <c r="VT34" i="2"/>
  <c r="VU34" i="2"/>
  <c r="VV34" i="2"/>
  <c r="VW34" i="2"/>
  <c r="VX34" i="2"/>
  <c r="VY34" i="2"/>
  <c r="VZ34" i="2"/>
  <c r="WA34" i="2"/>
  <c r="WB34" i="2"/>
  <c r="WC34" i="2"/>
  <c r="WD34" i="2"/>
  <c r="WE34" i="2"/>
  <c r="WF34" i="2"/>
  <c r="UT12" i="2"/>
  <c r="UU12" i="2"/>
  <c r="UV12" i="2"/>
  <c r="UY12" i="2"/>
  <c r="VA12" i="2"/>
  <c r="VD12" i="2"/>
  <c r="VE12" i="2"/>
  <c r="AV11" i="1" s="1"/>
  <c r="VJ12" i="2"/>
  <c r="VI12" i="2" s="1"/>
  <c r="VL12" i="2"/>
  <c r="VK12" i="2" s="1"/>
  <c r="VM12" i="2"/>
  <c r="UT13" i="2"/>
  <c r="UU13" i="2"/>
  <c r="UV13" i="2"/>
  <c r="UY13" i="2"/>
  <c r="VA13" i="2"/>
  <c r="VD13" i="2"/>
  <c r="VE13" i="2"/>
  <c r="AV12" i="1" s="1"/>
  <c r="VJ13" i="2"/>
  <c r="VI13" i="2" s="1"/>
  <c r="VL13" i="2"/>
  <c r="VK13" i="2" s="1"/>
  <c r="VM13" i="2"/>
  <c r="UT14" i="2"/>
  <c r="UU14" i="2"/>
  <c r="UV14" i="2"/>
  <c r="UY14" i="2"/>
  <c r="VA14" i="2"/>
  <c r="VD14" i="2"/>
  <c r="VE14" i="2"/>
  <c r="AV13" i="1" s="1"/>
  <c r="VJ14" i="2"/>
  <c r="VI14" i="2" s="1"/>
  <c r="VL14" i="2"/>
  <c r="VM14" i="2"/>
  <c r="UT15" i="2"/>
  <c r="UU15" i="2"/>
  <c r="UV15" i="2"/>
  <c r="UY15" i="2"/>
  <c r="VA15" i="2"/>
  <c r="VD15" i="2"/>
  <c r="VE15" i="2"/>
  <c r="AV14" i="1" s="1"/>
  <c r="VJ15" i="2"/>
  <c r="VI15" i="2" s="1"/>
  <c r="VL15" i="2"/>
  <c r="VM15" i="2"/>
  <c r="UT16" i="2"/>
  <c r="UU16" i="2"/>
  <c r="UV16" i="2"/>
  <c r="UY16" i="2"/>
  <c r="VA16" i="2"/>
  <c r="VD16" i="2"/>
  <c r="VE16" i="2"/>
  <c r="AV15" i="1" s="1"/>
  <c r="VJ16" i="2"/>
  <c r="VI16" i="2" s="1"/>
  <c r="VL16" i="2"/>
  <c r="VM16" i="2"/>
  <c r="UT17" i="2"/>
  <c r="UU17" i="2"/>
  <c r="UV17" i="2"/>
  <c r="UY17" i="2"/>
  <c r="VA17" i="2"/>
  <c r="VD17" i="2"/>
  <c r="VE17" i="2"/>
  <c r="AV16" i="1" s="1"/>
  <c r="VJ17" i="2"/>
  <c r="VI17" i="2" s="1"/>
  <c r="VL17" i="2"/>
  <c r="VM17" i="2"/>
  <c r="UT18" i="2"/>
  <c r="UU18" i="2"/>
  <c r="UV18" i="2"/>
  <c r="UY18" i="2"/>
  <c r="VA18" i="2"/>
  <c r="VD18" i="2"/>
  <c r="VE18" i="2"/>
  <c r="AV17" i="1" s="1"/>
  <c r="VJ18" i="2"/>
  <c r="VI18" i="2" s="1"/>
  <c r="VL18" i="2"/>
  <c r="VM18" i="2"/>
  <c r="UT19" i="2"/>
  <c r="UU19" i="2"/>
  <c r="UV19" i="2"/>
  <c r="UY19" i="2"/>
  <c r="VA19" i="2"/>
  <c r="VD19" i="2"/>
  <c r="VE19" i="2"/>
  <c r="AV18" i="1" s="1"/>
  <c r="VJ19" i="2"/>
  <c r="VI19" i="2" s="1"/>
  <c r="VL19" i="2"/>
  <c r="VM19" i="2"/>
  <c r="UT20" i="2"/>
  <c r="UU20" i="2"/>
  <c r="UV20" i="2"/>
  <c r="UY20" i="2"/>
  <c r="VA20" i="2"/>
  <c r="VD20" i="2"/>
  <c r="VE20" i="2"/>
  <c r="AV19" i="1" s="1"/>
  <c r="VJ20" i="2"/>
  <c r="VI20" i="2" s="1"/>
  <c r="VL20" i="2"/>
  <c r="VM20" i="2"/>
  <c r="UT21" i="2"/>
  <c r="UU21" i="2"/>
  <c r="UV21" i="2"/>
  <c r="UY21" i="2"/>
  <c r="VA21" i="2"/>
  <c r="VD21" i="2"/>
  <c r="VE21" i="2"/>
  <c r="AV20" i="1" s="1"/>
  <c r="VJ21" i="2"/>
  <c r="VI21" i="2" s="1"/>
  <c r="VL21" i="2"/>
  <c r="VM21" i="2"/>
  <c r="UT22" i="2"/>
  <c r="UU22" i="2"/>
  <c r="UV22" i="2"/>
  <c r="UY22" i="2"/>
  <c r="VA22" i="2"/>
  <c r="VD22" i="2"/>
  <c r="VE22" i="2"/>
  <c r="AV21" i="1" s="1"/>
  <c r="VJ22" i="2"/>
  <c r="VI22" i="2" s="1"/>
  <c r="VL22" i="2"/>
  <c r="VM22" i="2"/>
  <c r="UT23" i="2"/>
  <c r="UU23" i="2"/>
  <c r="UV23" i="2"/>
  <c r="UY23" i="2"/>
  <c r="VA23" i="2"/>
  <c r="VD23" i="2"/>
  <c r="VE23" i="2"/>
  <c r="AV22" i="1" s="1"/>
  <c r="VJ23" i="2"/>
  <c r="VI23" i="2" s="1"/>
  <c r="VL23" i="2"/>
  <c r="VM23" i="2"/>
  <c r="UT24" i="2"/>
  <c r="UU24" i="2"/>
  <c r="UV24" i="2"/>
  <c r="UY24" i="2"/>
  <c r="VA24" i="2"/>
  <c r="VD24" i="2"/>
  <c r="VE24" i="2"/>
  <c r="AV23" i="1" s="1"/>
  <c r="VJ24" i="2"/>
  <c r="VI24" i="2" s="1"/>
  <c r="VL24" i="2"/>
  <c r="VM24" i="2"/>
  <c r="UT25" i="2"/>
  <c r="UU25" i="2"/>
  <c r="UV25" i="2"/>
  <c r="UY25" i="2"/>
  <c r="VA25" i="2"/>
  <c r="VD25" i="2"/>
  <c r="VE25" i="2"/>
  <c r="AV24" i="1" s="1"/>
  <c r="VJ25" i="2"/>
  <c r="VI25" i="2" s="1"/>
  <c r="VL25" i="2"/>
  <c r="VM25" i="2"/>
  <c r="UT26" i="2"/>
  <c r="UU26" i="2"/>
  <c r="UV26" i="2"/>
  <c r="UY26" i="2"/>
  <c r="VA26" i="2"/>
  <c r="VD26" i="2"/>
  <c r="VE26" i="2"/>
  <c r="AV25" i="1" s="1"/>
  <c r="VJ26" i="2"/>
  <c r="VI26" i="2" s="1"/>
  <c r="VL26" i="2"/>
  <c r="VM26" i="2"/>
  <c r="UT27" i="2"/>
  <c r="UU27" i="2"/>
  <c r="UV27" i="2"/>
  <c r="UY27" i="2"/>
  <c r="VA27" i="2"/>
  <c r="VD27" i="2"/>
  <c r="VE27" i="2"/>
  <c r="AV26" i="1" s="1"/>
  <c r="VJ27" i="2"/>
  <c r="VI27" i="2" s="1"/>
  <c r="VL27" i="2"/>
  <c r="VM27" i="2"/>
  <c r="UT28" i="2"/>
  <c r="UU28" i="2"/>
  <c r="UV28" i="2"/>
  <c r="UY28" i="2"/>
  <c r="VA28" i="2"/>
  <c r="VD28" i="2"/>
  <c r="VE28" i="2"/>
  <c r="AV27" i="1" s="1"/>
  <c r="VJ28" i="2"/>
  <c r="VI28" i="2" s="1"/>
  <c r="VL28" i="2"/>
  <c r="VM28" i="2"/>
  <c r="UT29" i="2"/>
  <c r="UU29" i="2"/>
  <c r="UV29" i="2"/>
  <c r="UY29" i="2"/>
  <c r="VA29" i="2"/>
  <c r="VD29" i="2"/>
  <c r="VE29" i="2"/>
  <c r="AV28" i="1" s="1"/>
  <c r="VJ29" i="2"/>
  <c r="VI29" i="2" s="1"/>
  <c r="VL29" i="2"/>
  <c r="VM29" i="2"/>
  <c r="UW30" i="2"/>
  <c r="UX30" i="2"/>
  <c r="UZ30" i="2"/>
  <c r="VB30" i="2"/>
  <c r="VF30" i="2"/>
  <c r="VN30" i="2"/>
  <c r="UT32" i="2"/>
  <c r="UU32" i="2"/>
  <c r="UV32" i="2"/>
  <c r="UY32" i="2"/>
  <c r="VA32" i="2"/>
  <c r="VC32" i="2"/>
  <c r="VE32" i="2"/>
  <c r="VH32" i="2"/>
  <c r="VG32" i="2" s="1"/>
  <c r="VJ32" i="2"/>
  <c r="VI32" i="2" s="1"/>
  <c r="VK32" i="2"/>
  <c r="VM32" i="2"/>
  <c r="UT33" i="2"/>
  <c r="UU33" i="2"/>
  <c r="UV33" i="2"/>
  <c r="UY33" i="2"/>
  <c r="VA33" i="2"/>
  <c r="VC33" i="2"/>
  <c r="VE33" i="2"/>
  <c r="VH33" i="2"/>
  <c r="VG33" i="2" s="1"/>
  <c r="VJ33" i="2"/>
  <c r="VI33" i="2" s="1"/>
  <c r="VK33" i="2"/>
  <c r="VM33" i="2"/>
  <c r="UW34" i="2"/>
  <c r="UW37" i="2" s="1"/>
  <c r="UX34" i="2"/>
  <c r="UX37" i="2" s="1"/>
  <c r="UZ34" i="2"/>
  <c r="VB34" i="2"/>
  <c r="VD34" i="2"/>
  <c r="VF34" i="2"/>
  <c r="VL34" i="2"/>
  <c r="VN34" i="2"/>
  <c r="UD12" i="2"/>
  <c r="UE12" i="2"/>
  <c r="UJ12" i="2"/>
  <c r="UK12" i="2"/>
  <c r="UD13" i="2"/>
  <c r="UE13" i="2"/>
  <c r="UJ13" i="2"/>
  <c r="UK13" i="2"/>
  <c r="UD14" i="2"/>
  <c r="UE14" i="2"/>
  <c r="UJ14" i="2"/>
  <c r="UK14" i="2"/>
  <c r="UD15" i="2"/>
  <c r="UE15" i="2"/>
  <c r="UJ15" i="2"/>
  <c r="UK15" i="2"/>
  <c r="UD16" i="2"/>
  <c r="UE16" i="2"/>
  <c r="UJ16" i="2"/>
  <c r="UK16" i="2"/>
  <c r="UD17" i="2"/>
  <c r="UE17" i="2"/>
  <c r="UJ17" i="2"/>
  <c r="UK17" i="2"/>
  <c r="UD18" i="2"/>
  <c r="UE18" i="2"/>
  <c r="UJ18" i="2"/>
  <c r="UK18" i="2"/>
  <c r="UD19" i="2"/>
  <c r="UE19" i="2"/>
  <c r="UJ19" i="2"/>
  <c r="UK19" i="2"/>
  <c r="UD20" i="2"/>
  <c r="UE20" i="2"/>
  <c r="UJ20" i="2"/>
  <c r="UK20" i="2"/>
  <c r="UD21" i="2"/>
  <c r="UE21" i="2"/>
  <c r="UJ21" i="2"/>
  <c r="UK21" i="2"/>
  <c r="UD22" i="2"/>
  <c r="UE22" i="2"/>
  <c r="UJ22" i="2"/>
  <c r="UK22" i="2"/>
  <c r="UD23" i="2"/>
  <c r="UE23" i="2"/>
  <c r="UJ23" i="2"/>
  <c r="UK23" i="2"/>
  <c r="UD24" i="2"/>
  <c r="UE24" i="2"/>
  <c r="UJ24" i="2"/>
  <c r="UK24" i="2"/>
  <c r="UD25" i="2"/>
  <c r="UE25" i="2"/>
  <c r="UJ25" i="2"/>
  <c r="UK25" i="2"/>
  <c r="UD26" i="2"/>
  <c r="UE26" i="2"/>
  <c r="UJ26" i="2"/>
  <c r="UK26" i="2"/>
  <c r="UD27" i="2"/>
  <c r="UE27" i="2"/>
  <c r="UJ27" i="2"/>
  <c r="UK27" i="2"/>
  <c r="UD28" i="2"/>
  <c r="UE28" i="2"/>
  <c r="UJ28" i="2"/>
  <c r="UK28" i="2"/>
  <c r="UD29" i="2"/>
  <c r="UE29" i="2"/>
  <c r="UJ29" i="2"/>
  <c r="UK29" i="2"/>
  <c r="UG30" i="2"/>
  <c r="UH30" i="2"/>
  <c r="UM30" i="2"/>
  <c r="UN30" i="2"/>
  <c r="UD32" i="2"/>
  <c r="UE32" i="2"/>
  <c r="UD33" i="2"/>
  <c r="UE33" i="2"/>
  <c r="UG34" i="2"/>
  <c r="UH34" i="2"/>
  <c r="UH37" i="2" s="1"/>
  <c r="UJ34" i="2"/>
  <c r="UK34" i="2"/>
  <c r="UM34" i="2"/>
  <c r="UN34" i="2"/>
  <c r="SZ12" i="2"/>
  <c r="TA12" i="2"/>
  <c r="TG12" i="2"/>
  <c r="TH12" i="2"/>
  <c r="SZ13" i="2"/>
  <c r="TA13" i="2"/>
  <c r="TG13" i="2"/>
  <c r="TH13" i="2"/>
  <c r="SZ14" i="2"/>
  <c r="TA14" i="2"/>
  <c r="TG14" i="2"/>
  <c r="TH14" i="2"/>
  <c r="SZ15" i="2"/>
  <c r="TA15" i="2"/>
  <c r="TG15" i="2"/>
  <c r="TH15" i="2"/>
  <c r="SZ16" i="2"/>
  <c r="TA16" i="2"/>
  <c r="TG16" i="2"/>
  <c r="TH16" i="2"/>
  <c r="SZ17" i="2"/>
  <c r="TA17" i="2"/>
  <c r="TG17" i="2"/>
  <c r="TH17" i="2"/>
  <c r="SZ18" i="2"/>
  <c r="TA18" i="2"/>
  <c r="TG18" i="2"/>
  <c r="TH18" i="2"/>
  <c r="SZ19" i="2"/>
  <c r="TA19" i="2"/>
  <c r="TG19" i="2"/>
  <c r="TH19" i="2"/>
  <c r="SZ20" i="2"/>
  <c r="TA20" i="2"/>
  <c r="TG20" i="2"/>
  <c r="TH20" i="2"/>
  <c r="SZ21" i="2"/>
  <c r="TA21" i="2"/>
  <c r="TG21" i="2"/>
  <c r="TH21" i="2"/>
  <c r="SZ22" i="2"/>
  <c r="TA22" i="2"/>
  <c r="TG22" i="2"/>
  <c r="TH22" i="2"/>
  <c r="SZ23" i="2"/>
  <c r="TA23" i="2"/>
  <c r="TG23" i="2"/>
  <c r="TH23" i="2"/>
  <c r="SZ24" i="2"/>
  <c r="TA24" i="2"/>
  <c r="TG24" i="2"/>
  <c r="TH24" i="2"/>
  <c r="SZ25" i="2"/>
  <c r="TA25" i="2"/>
  <c r="TG25" i="2"/>
  <c r="TH25" i="2"/>
  <c r="SZ26" i="2"/>
  <c r="TA26" i="2"/>
  <c r="TG26" i="2"/>
  <c r="TH26" i="2"/>
  <c r="SZ27" i="2"/>
  <c r="TA27" i="2"/>
  <c r="TG27" i="2"/>
  <c r="TH27" i="2"/>
  <c r="SZ28" i="2"/>
  <c r="TA28" i="2"/>
  <c r="TG28" i="2"/>
  <c r="TH28" i="2"/>
  <c r="SZ29" i="2"/>
  <c r="TA29" i="2"/>
  <c r="TG29" i="2"/>
  <c r="TH29" i="2"/>
  <c r="TI30" i="2"/>
  <c r="TJ30" i="2"/>
  <c r="TP30" i="2"/>
  <c r="SZ32" i="2"/>
  <c r="TA32" i="2"/>
  <c r="TG32" i="2"/>
  <c r="TH32" i="2"/>
  <c r="SZ33" i="2"/>
  <c r="TA33" i="2"/>
  <c r="TA34" i="2" s="1"/>
  <c r="TG33" i="2"/>
  <c r="TH33" i="2"/>
  <c r="TI34" i="2"/>
  <c r="TJ34" i="2"/>
  <c r="TP34" i="2"/>
  <c r="SE12" i="2"/>
  <c r="SG12" i="2"/>
  <c r="SI12" i="2"/>
  <c r="SK12" i="2"/>
  <c r="SM12" i="2"/>
  <c r="SO12" i="2"/>
  <c r="SR12" i="2"/>
  <c r="SS12" i="2"/>
  <c r="SE13" i="2"/>
  <c r="SG13" i="2"/>
  <c r="SI13" i="2"/>
  <c r="SK13" i="2"/>
  <c r="SM13" i="2"/>
  <c r="SO13" i="2"/>
  <c r="SR13" i="2"/>
  <c r="SS13" i="2"/>
  <c r="SE14" i="2"/>
  <c r="SG14" i="2"/>
  <c r="SI14" i="2"/>
  <c r="SK14" i="2"/>
  <c r="SM14" i="2"/>
  <c r="SO14" i="2"/>
  <c r="SR14" i="2"/>
  <c r="SS14" i="2"/>
  <c r="SE15" i="2"/>
  <c r="SG15" i="2"/>
  <c r="SI15" i="2"/>
  <c r="SK15" i="2"/>
  <c r="SM15" i="2"/>
  <c r="SO15" i="2"/>
  <c r="SR15" i="2"/>
  <c r="SS15" i="2"/>
  <c r="SE16" i="2"/>
  <c r="SG16" i="2"/>
  <c r="SI16" i="2"/>
  <c r="SK16" i="2"/>
  <c r="SM16" i="2"/>
  <c r="SO16" i="2"/>
  <c r="SR16" i="2"/>
  <c r="SS16" i="2"/>
  <c r="SE17" i="2"/>
  <c r="SG17" i="2"/>
  <c r="SI17" i="2"/>
  <c r="SK17" i="2"/>
  <c r="SM17" i="2"/>
  <c r="SO17" i="2"/>
  <c r="SR17" i="2"/>
  <c r="SS17" i="2"/>
  <c r="SE18" i="2"/>
  <c r="SG18" i="2"/>
  <c r="SI18" i="2"/>
  <c r="SK18" i="2"/>
  <c r="SM18" i="2"/>
  <c r="SO18" i="2"/>
  <c r="SR18" i="2"/>
  <c r="SS18" i="2"/>
  <c r="SE19" i="2"/>
  <c r="SG19" i="2"/>
  <c r="SI19" i="2"/>
  <c r="SK19" i="2"/>
  <c r="SM19" i="2"/>
  <c r="SO19" i="2"/>
  <c r="SR19" i="2"/>
  <c r="SS19" i="2"/>
  <c r="SE20" i="2"/>
  <c r="SG20" i="2"/>
  <c r="SI20" i="2"/>
  <c r="SK20" i="2"/>
  <c r="SM20" i="2"/>
  <c r="SO20" i="2"/>
  <c r="SR20" i="2"/>
  <c r="SS20" i="2"/>
  <c r="SE21" i="2"/>
  <c r="SG21" i="2"/>
  <c r="SI21" i="2"/>
  <c r="SK21" i="2"/>
  <c r="SM21" i="2"/>
  <c r="SO21" i="2"/>
  <c r="SR21" i="2"/>
  <c r="SS21" i="2"/>
  <c r="SE22" i="2"/>
  <c r="SG22" i="2"/>
  <c r="SI22" i="2"/>
  <c r="SK22" i="2"/>
  <c r="SM22" i="2"/>
  <c r="SO22" i="2"/>
  <c r="SR22" i="2"/>
  <c r="SS22" i="2"/>
  <c r="SE23" i="2"/>
  <c r="SG23" i="2"/>
  <c r="SI23" i="2"/>
  <c r="SK23" i="2"/>
  <c r="SM23" i="2"/>
  <c r="SO23" i="2"/>
  <c r="SR23" i="2"/>
  <c r="SS23" i="2"/>
  <c r="SE24" i="2"/>
  <c r="SG24" i="2"/>
  <c r="SI24" i="2"/>
  <c r="SK24" i="2"/>
  <c r="SM24" i="2"/>
  <c r="SO24" i="2"/>
  <c r="SR24" i="2"/>
  <c r="SS24" i="2"/>
  <c r="SE25" i="2"/>
  <c r="SG25" i="2"/>
  <c r="SI25" i="2"/>
  <c r="SK25" i="2"/>
  <c r="SM25" i="2"/>
  <c r="SO25" i="2"/>
  <c r="SR25" i="2"/>
  <c r="SS25" i="2"/>
  <c r="SE26" i="2"/>
  <c r="SG26" i="2"/>
  <c r="SI26" i="2"/>
  <c r="SK26" i="2"/>
  <c r="SM26" i="2"/>
  <c r="SO26" i="2"/>
  <c r="SR26" i="2"/>
  <c r="SS26" i="2"/>
  <c r="SE27" i="2"/>
  <c r="SG27" i="2"/>
  <c r="SI27" i="2"/>
  <c r="SK27" i="2"/>
  <c r="SM27" i="2"/>
  <c r="SO27" i="2"/>
  <c r="SR27" i="2"/>
  <c r="SS27" i="2"/>
  <c r="SE28" i="2"/>
  <c r="SG28" i="2"/>
  <c r="SI28" i="2"/>
  <c r="SK28" i="2"/>
  <c r="SM28" i="2"/>
  <c r="SO28" i="2"/>
  <c r="SR28" i="2"/>
  <c r="SS28" i="2"/>
  <c r="SE29" i="2"/>
  <c r="SG29" i="2"/>
  <c r="SI29" i="2"/>
  <c r="SK29" i="2"/>
  <c r="SM29" i="2"/>
  <c r="SO29" i="2"/>
  <c r="SR29" i="2"/>
  <c r="SS29" i="2"/>
  <c r="SF30" i="2"/>
  <c r="RV48" i="2" s="1"/>
  <c r="RV50" i="2" s="1"/>
  <c r="SH30" i="2"/>
  <c r="SJ30" i="2"/>
  <c r="SL30" i="2"/>
  <c r="SN30" i="2"/>
  <c r="SP30" i="2"/>
  <c r="SU30" i="2"/>
  <c r="SE32" i="2"/>
  <c r="SG32" i="2"/>
  <c r="SI32" i="2"/>
  <c r="SK32" i="2"/>
  <c r="SM32" i="2"/>
  <c r="SO32" i="2"/>
  <c r="SR32" i="2"/>
  <c r="SS32" i="2"/>
  <c r="ST32" i="2"/>
  <c r="SE33" i="2"/>
  <c r="SG33" i="2"/>
  <c r="SI33" i="2"/>
  <c r="SK33" i="2"/>
  <c r="SM33" i="2"/>
  <c r="SO33" i="2"/>
  <c r="SR33" i="2"/>
  <c r="SS33" i="2"/>
  <c r="ST33" i="2"/>
  <c r="SF34" i="2"/>
  <c r="SH34" i="2"/>
  <c r="SJ34" i="2"/>
  <c r="SL34" i="2"/>
  <c r="SN34" i="2"/>
  <c r="SP34" i="2"/>
  <c r="SU34" i="2"/>
  <c r="SV34" i="2"/>
  <c r="NM12" i="2"/>
  <c r="NN12" i="2"/>
  <c r="NP12" i="2"/>
  <c r="NQ12" i="2"/>
  <c r="NR12" i="2"/>
  <c r="NM13" i="2"/>
  <c r="NN13" i="2"/>
  <c r="NP13" i="2"/>
  <c r="NQ13" i="2"/>
  <c r="NR13" i="2"/>
  <c r="NM14" i="2"/>
  <c r="NN14" i="2"/>
  <c r="NP14" i="2"/>
  <c r="NQ14" i="2"/>
  <c r="NR14" i="2"/>
  <c r="NM15" i="2"/>
  <c r="NN15" i="2"/>
  <c r="NP15" i="2"/>
  <c r="NQ15" i="2"/>
  <c r="NR15" i="2"/>
  <c r="NM16" i="2"/>
  <c r="NN16" i="2"/>
  <c r="NP16" i="2"/>
  <c r="NQ16" i="2"/>
  <c r="NR16" i="2"/>
  <c r="NM17" i="2"/>
  <c r="NN17" i="2"/>
  <c r="NP17" i="2"/>
  <c r="NQ17" i="2"/>
  <c r="NR17" i="2"/>
  <c r="NM18" i="2"/>
  <c r="NN18" i="2"/>
  <c r="NP18" i="2"/>
  <c r="NQ18" i="2"/>
  <c r="NR18" i="2"/>
  <c r="NM19" i="2"/>
  <c r="NN19" i="2"/>
  <c r="NP19" i="2"/>
  <c r="NQ19" i="2"/>
  <c r="NR19" i="2"/>
  <c r="NM20" i="2"/>
  <c r="NN20" i="2"/>
  <c r="NP20" i="2"/>
  <c r="NQ20" i="2"/>
  <c r="NR20" i="2"/>
  <c r="NM21" i="2"/>
  <c r="NN21" i="2"/>
  <c r="NP21" i="2"/>
  <c r="NQ21" i="2"/>
  <c r="NR21" i="2"/>
  <c r="NM22" i="2"/>
  <c r="NN22" i="2"/>
  <c r="NP22" i="2"/>
  <c r="NQ22" i="2"/>
  <c r="NR22" i="2"/>
  <c r="NM23" i="2"/>
  <c r="NN23" i="2"/>
  <c r="NP23" i="2"/>
  <c r="NQ23" i="2"/>
  <c r="NR23" i="2"/>
  <c r="NM24" i="2"/>
  <c r="NN24" i="2"/>
  <c r="NP24" i="2"/>
  <c r="NQ24" i="2"/>
  <c r="NR24" i="2"/>
  <c r="NM25" i="2"/>
  <c r="NN25" i="2"/>
  <c r="NP25" i="2"/>
  <c r="NQ25" i="2"/>
  <c r="NR25" i="2"/>
  <c r="NM26" i="2"/>
  <c r="NN26" i="2"/>
  <c r="NP26" i="2"/>
  <c r="NQ26" i="2"/>
  <c r="NR26" i="2"/>
  <c r="NM27" i="2"/>
  <c r="NN27" i="2"/>
  <c r="NP27" i="2"/>
  <c r="NQ27" i="2"/>
  <c r="NR27" i="2"/>
  <c r="NM28" i="2"/>
  <c r="NN28" i="2"/>
  <c r="NP28" i="2"/>
  <c r="NQ28" i="2"/>
  <c r="NR28" i="2"/>
  <c r="NM29" i="2"/>
  <c r="NN29" i="2"/>
  <c r="NP29" i="2"/>
  <c r="NQ29" i="2"/>
  <c r="NR29" i="2"/>
  <c r="NS30" i="2"/>
  <c r="NT30" i="2"/>
  <c r="NI34" i="2"/>
  <c r="NJ34" i="2"/>
  <c r="NK34" i="2"/>
  <c r="NL34" i="2"/>
  <c r="NM34" i="2"/>
  <c r="NN34" i="2"/>
  <c r="NO34" i="2"/>
  <c r="NP34" i="2"/>
  <c r="NQ34" i="2"/>
  <c r="NR34" i="2"/>
  <c r="NS34" i="2"/>
  <c r="NT34" i="2"/>
  <c r="MY12" i="2"/>
  <c r="NA12" i="2"/>
  <c r="ND12" i="2"/>
  <c r="NE12" i="2"/>
  <c r="NF12" i="2"/>
  <c r="MY13" i="2"/>
  <c r="NA13" i="2"/>
  <c r="ND13" i="2"/>
  <c r="NE13" i="2"/>
  <c r="NF13" i="2"/>
  <c r="MY14" i="2"/>
  <c r="NA14" i="2"/>
  <c r="ND14" i="2"/>
  <c r="NE14" i="2"/>
  <c r="NF14" i="2"/>
  <c r="MY15" i="2"/>
  <c r="NA15" i="2"/>
  <c r="ND15" i="2"/>
  <c r="NE15" i="2"/>
  <c r="NF15" i="2"/>
  <c r="MY16" i="2"/>
  <c r="NA16" i="2"/>
  <c r="ND16" i="2"/>
  <c r="NE16" i="2"/>
  <c r="NF16" i="2"/>
  <c r="MY17" i="2"/>
  <c r="NA17" i="2"/>
  <c r="ND17" i="2"/>
  <c r="NE17" i="2"/>
  <c r="NF17" i="2"/>
  <c r="MY18" i="2"/>
  <c r="NA18" i="2"/>
  <c r="NF18" i="2"/>
  <c r="MY19" i="2"/>
  <c r="NA19" i="2"/>
  <c r="ND19" i="2"/>
  <c r="NE19" i="2"/>
  <c r="FX17" i="18" s="1"/>
  <c r="FZ17" i="18" s="1"/>
  <c r="NF19" i="2"/>
  <c r="MY20" i="2"/>
  <c r="NA20" i="2"/>
  <c r="ND20" i="2"/>
  <c r="NE20" i="2"/>
  <c r="FX18" i="18" s="1"/>
  <c r="FZ18" i="18" s="1"/>
  <c r="NF20" i="2"/>
  <c r="MY21" i="2"/>
  <c r="NA21" i="2"/>
  <c r="ND21" i="2"/>
  <c r="NE21" i="2"/>
  <c r="FX19" i="18" s="1"/>
  <c r="FZ19" i="18" s="1"/>
  <c r="NF21" i="2"/>
  <c r="MY22" i="2"/>
  <c r="NA22" i="2"/>
  <c r="ND22" i="2"/>
  <c r="NE22" i="2"/>
  <c r="FX20" i="18" s="1"/>
  <c r="FZ20" i="18" s="1"/>
  <c r="NF22" i="2"/>
  <c r="MY23" i="2"/>
  <c r="NA23" i="2"/>
  <c r="ND23" i="2"/>
  <c r="NE23" i="2"/>
  <c r="FX21" i="18" s="1"/>
  <c r="FZ21" i="18" s="1"/>
  <c r="NF23" i="2"/>
  <c r="MY24" i="2"/>
  <c r="NA24" i="2"/>
  <c r="ND24" i="2"/>
  <c r="NE24" i="2"/>
  <c r="FX22" i="18" s="1"/>
  <c r="FZ22" i="18" s="1"/>
  <c r="NF24" i="2"/>
  <c r="MY25" i="2"/>
  <c r="NA25" i="2"/>
  <c r="ND25" i="2"/>
  <c r="NE25" i="2"/>
  <c r="FX23" i="18" s="1"/>
  <c r="FZ23" i="18" s="1"/>
  <c r="NF25" i="2"/>
  <c r="MY26" i="2"/>
  <c r="NA26" i="2"/>
  <c r="ND26" i="2"/>
  <c r="NE26" i="2"/>
  <c r="FX24" i="18" s="1"/>
  <c r="FZ24" i="18" s="1"/>
  <c r="NF26" i="2"/>
  <c r="MY27" i="2"/>
  <c r="NA27" i="2"/>
  <c r="ND27" i="2"/>
  <c r="NE27" i="2"/>
  <c r="FX25" i="18" s="1"/>
  <c r="FZ25" i="18" s="1"/>
  <c r="NF27" i="2"/>
  <c r="MY28" i="2"/>
  <c r="NA28" i="2"/>
  <c r="ND28" i="2"/>
  <c r="NE28" i="2"/>
  <c r="FX26" i="18" s="1"/>
  <c r="FZ26" i="18" s="1"/>
  <c r="NF28" i="2"/>
  <c r="MY29" i="2"/>
  <c r="NA29" i="2"/>
  <c r="ND29" i="2"/>
  <c r="NE29" i="2"/>
  <c r="FX27" i="18" s="1"/>
  <c r="FZ27" i="18" s="1"/>
  <c r="NF29" i="2"/>
  <c r="MZ30" i="2"/>
  <c r="NB30" i="2"/>
  <c r="NG30" i="2"/>
  <c r="NH30" i="2"/>
  <c r="MY32" i="2"/>
  <c r="NA32" i="2"/>
  <c r="NA33" i="2"/>
  <c r="MZ34" i="2"/>
  <c r="NB34" i="2"/>
  <c r="NC34" i="2"/>
  <c r="ND34" i="2"/>
  <c r="NE34" i="2"/>
  <c r="NF34" i="2"/>
  <c r="NG34" i="2"/>
  <c r="NH34" i="2"/>
  <c r="NB42" i="2"/>
  <c r="MK12" i="2"/>
  <c r="ML12" i="2"/>
  <c r="MM12" i="2"/>
  <c r="MN12" i="2"/>
  <c r="MP12" i="2"/>
  <c r="MQ12" i="2"/>
  <c r="MR12" i="2"/>
  <c r="MS12" i="2"/>
  <c r="MT12" i="2"/>
  <c r="MK13" i="2"/>
  <c r="ML13" i="2"/>
  <c r="MM13" i="2"/>
  <c r="MN13" i="2"/>
  <c r="MP13" i="2"/>
  <c r="MQ13" i="2"/>
  <c r="MR13" i="2"/>
  <c r="MS13" i="2"/>
  <c r="MT13" i="2"/>
  <c r="MK14" i="2"/>
  <c r="ML14" i="2"/>
  <c r="MM14" i="2"/>
  <c r="MN14" i="2"/>
  <c r="MP14" i="2"/>
  <c r="MQ14" i="2"/>
  <c r="MR14" i="2"/>
  <c r="MS14" i="2"/>
  <c r="MT14" i="2"/>
  <c r="MK15" i="2"/>
  <c r="ML15" i="2"/>
  <c r="MM15" i="2"/>
  <c r="MN15" i="2"/>
  <c r="MP15" i="2"/>
  <c r="MQ15" i="2"/>
  <c r="MR15" i="2"/>
  <c r="MS15" i="2"/>
  <c r="MT15" i="2"/>
  <c r="MK16" i="2"/>
  <c r="ML16" i="2"/>
  <c r="MM16" i="2"/>
  <c r="MN16" i="2"/>
  <c r="MP16" i="2"/>
  <c r="MQ16" i="2"/>
  <c r="MR16" i="2"/>
  <c r="MS16" i="2"/>
  <c r="MT16" i="2"/>
  <c r="MK17" i="2"/>
  <c r="ML17" i="2"/>
  <c r="MM17" i="2"/>
  <c r="MN17" i="2"/>
  <c r="MP17" i="2"/>
  <c r="MQ17" i="2"/>
  <c r="MR17" i="2"/>
  <c r="MS17" i="2"/>
  <c r="MT17" i="2"/>
  <c r="MK18" i="2"/>
  <c r="ML18" i="2"/>
  <c r="MM18" i="2"/>
  <c r="MN18" i="2"/>
  <c r="MP18" i="2"/>
  <c r="MQ18" i="2"/>
  <c r="MR18" i="2"/>
  <c r="MS18" i="2"/>
  <c r="MT18" i="2"/>
  <c r="MK19" i="2"/>
  <c r="ML19" i="2"/>
  <c r="MM19" i="2"/>
  <c r="MN19" i="2"/>
  <c r="MP19" i="2"/>
  <c r="MQ19" i="2"/>
  <c r="MR19" i="2"/>
  <c r="MS19" i="2"/>
  <c r="MT19" i="2"/>
  <c r="MK20" i="2"/>
  <c r="ML20" i="2"/>
  <c r="MM20" i="2"/>
  <c r="MN20" i="2"/>
  <c r="MP20" i="2"/>
  <c r="MQ20" i="2"/>
  <c r="MR20" i="2"/>
  <c r="MS20" i="2"/>
  <c r="MT20" i="2"/>
  <c r="MK21" i="2"/>
  <c r="ML21" i="2"/>
  <c r="MM21" i="2"/>
  <c r="MN21" i="2"/>
  <c r="MP21" i="2"/>
  <c r="MQ21" i="2"/>
  <c r="MR21" i="2"/>
  <c r="MS21" i="2"/>
  <c r="MT21" i="2"/>
  <c r="MK22" i="2"/>
  <c r="ML22" i="2"/>
  <c r="MM22" i="2"/>
  <c r="MN22" i="2"/>
  <c r="MP22" i="2"/>
  <c r="MQ22" i="2"/>
  <c r="MR22" i="2"/>
  <c r="MS22" i="2"/>
  <c r="MT22" i="2"/>
  <c r="MK23" i="2"/>
  <c r="ML23" i="2"/>
  <c r="MM23" i="2"/>
  <c r="MN23" i="2"/>
  <c r="MP23" i="2"/>
  <c r="MQ23" i="2"/>
  <c r="MR23" i="2"/>
  <c r="MS23" i="2"/>
  <c r="MT23" i="2"/>
  <c r="MK24" i="2"/>
  <c r="ML24" i="2"/>
  <c r="MM24" i="2"/>
  <c r="MN24" i="2"/>
  <c r="MP24" i="2"/>
  <c r="MQ24" i="2"/>
  <c r="MR24" i="2"/>
  <c r="MS24" i="2"/>
  <c r="MT24" i="2"/>
  <c r="MK25" i="2"/>
  <c r="ML25" i="2"/>
  <c r="MM25" i="2"/>
  <c r="MN25" i="2"/>
  <c r="MP25" i="2"/>
  <c r="MQ25" i="2"/>
  <c r="MR25" i="2"/>
  <c r="MS25" i="2"/>
  <c r="MT25" i="2"/>
  <c r="MK26" i="2"/>
  <c r="ML26" i="2"/>
  <c r="MM26" i="2"/>
  <c r="MN26" i="2"/>
  <c r="MP26" i="2"/>
  <c r="MQ26" i="2"/>
  <c r="MR26" i="2"/>
  <c r="MS26" i="2"/>
  <c r="MT26" i="2"/>
  <c r="MK27" i="2"/>
  <c r="ML27" i="2"/>
  <c r="MM27" i="2"/>
  <c r="MN27" i="2"/>
  <c r="MP27" i="2"/>
  <c r="MQ27" i="2"/>
  <c r="MR27" i="2"/>
  <c r="MS27" i="2"/>
  <c r="MT27" i="2"/>
  <c r="MK28" i="2"/>
  <c r="ML28" i="2"/>
  <c r="MM28" i="2"/>
  <c r="MN28" i="2"/>
  <c r="MP28" i="2"/>
  <c r="MQ28" i="2"/>
  <c r="MR28" i="2"/>
  <c r="MS28" i="2"/>
  <c r="MT28" i="2"/>
  <c r="MK29" i="2"/>
  <c r="ML29" i="2"/>
  <c r="MM29" i="2"/>
  <c r="MN29" i="2"/>
  <c r="MP29" i="2"/>
  <c r="MQ29" i="2"/>
  <c r="MR29" i="2"/>
  <c r="MS29" i="2"/>
  <c r="MT29" i="2"/>
  <c r="MU30" i="2"/>
  <c r="MV30" i="2"/>
  <c r="MW30" i="2"/>
  <c r="MX30" i="2"/>
  <c r="ME34" i="2"/>
  <c r="MF34" i="2"/>
  <c r="MG34" i="2"/>
  <c r="MH34" i="2"/>
  <c r="MI34" i="2"/>
  <c r="MJ34" i="2"/>
  <c r="MK34" i="2"/>
  <c r="ML34" i="2"/>
  <c r="MM34" i="2"/>
  <c r="MN34" i="2"/>
  <c r="MO34" i="2"/>
  <c r="MP34" i="2"/>
  <c r="MQ34" i="2"/>
  <c r="MR34" i="2"/>
  <c r="MS34" i="2"/>
  <c r="MT34" i="2"/>
  <c r="MU34" i="2"/>
  <c r="MV34" i="2"/>
  <c r="MW34" i="2"/>
  <c r="MW37" i="2" s="1"/>
  <c r="MX34" i="2"/>
  <c r="LV12" i="2"/>
  <c r="LW12" i="2"/>
  <c r="FC10" i="18" s="1"/>
  <c r="LY12" i="2"/>
  <c r="FK10" i="18" s="1"/>
  <c r="LX12" i="2"/>
  <c r="LZ12" i="2"/>
  <c r="LV13" i="2"/>
  <c r="LW13" i="2"/>
  <c r="FC11" i="18" s="1"/>
  <c r="LY13" i="2"/>
  <c r="FK11" i="18" s="1"/>
  <c r="LX13" i="2"/>
  <c r="LZ13" i="2"/>
  <c r="LV14" i="2"/>
  <c r="LW14" i="2"/>
  <c r="FC12" i="18" s="1"/>
  <c r="LY14" i="2"/>
  <c r="FK12" i="18" s="1"/>
  <c r="LX14" i="2"/>
  <c r="LZ14" i="2"/>
  <c r="LV15" i="2"/>
  <c r="LW15" i="2"/>
  <c r="FC13" i="18" s="1"/>
  <c r="LY15" i="2"/>
  <c r="FK13" i="18" s="1"/>
  <c r="LX15" i="2"/>
  <c r="LZ15" i="2"/>
  <c r="LV16" i="2"/>
  <c r="LW16" i="2"/>
  <c r="FC14" i="18" s="1"/>
  <c r="LY16" i="2"/>
  <c r="FK14" i="18" s="1"/>
  <c r="LX16" i="2"/>
  <c r="LZ16" i="2"/>
  <c r="LV17" i="2"/>
  <c r="LW17" i="2"/>
  <c r="FC15" i="18" s="1"/>
  <c r="LY17" i="2"/>
  <c r="FK15" i="18" s="1"/>
  <c r="LX17" i="2"/>
  <c r="LZ17" i="2"/>
  <c r="LV18" i="2"/>
  <c r="LW18" i="2"/>
  <c r="FC16" i="18" s="1"/>
  <c r="LY18" i="2"/>
  <c r="FK16" i="18" s="1"/>
  <c r="LX18" i="2"/>
  <c r="LZ18" i="2"/>
  <c r="LV19" i="2"/>
  <c r="LW19" i="2"/>
  <c r="FC17" i="18" s="1"/>
  <c r="LY19" i="2"/>
  <c r="FK17" i="18" s="1"/>
  <c r="LX19" i="2"/>
  <c r="LZ19" i="2"/>
  <c r="LV20" i="2"/>
  <c r="LW20" i="2"/>
  <c r="FC18" i="18" s="1"/>
  <c r="LY20" i="2"/>
  <c r="FK18" i="18" s="1"/>
  <c r="LX20" i="2"/>
  <c r="LZ20" i="2"/>
  <c r="LV21" i="2"/>
  <c r="LW21" i="2"/>
  <c r="FC19" i="18" s="1"/>
  <c r="LY21" i="2"/>
  <c r="FK19" i="18" s="1"/>
  <c r="LX21" i="2"/>
  <c r="LZ21" i="2"/>
  <c r="LV22" i="2"/>
  <c r="LW22" i="2"/>
  <c r="FC20" i="18" s="1"/>
  <c r="LY22" i="2"/>
  <c r="FK20" i="18" s="1"/>
  <c r="LX22" i="2"/>
  <c r="LZ22" i="2"/>
  <c r="LV23" i="2"/>
  <c r="LW23" i="2"/>
  <c r="FC21" i="18" s="1"/>
  <c r="LY23" i="2"/>
  <c r="FK21" i="18" s="1"/>
  <c r="LX23" i="2"/>
  <c r="LZ23" i="2"/>
  <c r="LV24" i="2"/>
  <c r="LW24" i="2"/>
  <c r="FC22" i="18" s="1"/>
  <c r="LY24" i="2"/>
  <c r="FK22" i="18" s="1"/>
  <c r="LX24" i="2"/>
  <c r="LZ24" i="2"/>
  <c r="LV25" i="2"/>
  <c r="LW25" i="2"/>
  <c r="FC23" i="18" s="1"/>
  <c r="LY25" i="2"/>
  <c r="FK23" i="18" s="1"/>
  <c r="LX25" i="2"/>
  <c r="LZ25" i="2"/>
  <c r="LV26" i="2"/>
  <c r="LW26" i="2"/>
  <c r="FC24" i="18" s="1"/>
  <c r="LY26" i="2"/>
  <c r="FK24" i="18" s="1"/>
  <c r="LX26" i="2"/>
  <c r="LZ26" i="2"/>
  <c r="LV27" i="2"/>
  <c r="LW27" i="2"/>
  <c r="FC25" i="18" s="1"/>
  <c r="LY27" i="2"/>
  <c r="FK25" i="18" s="1"/>
  <c r="LX27" i="2"/>
  <c r="LZ27" i="2"/>
  <c r="LV28" i="2"/>
  <c r="LW28" i="2"/>
  <c r="FC26" i="18" s="1"/>
  <c r="LY28" i="2"/>
  <c r="FK26" i="18" s="1"/>
  <c r="LX28" i="2"/>
  <c r="LZ28" i="2"/>
  <c r="LV29" i="2"/>
  <c r="LW29" i="2"/>
  <c r="FC27" i="18" s="1"/>
  <c r="LY29" i="2"/>
  <c r="FK27" i="18" s="1"/>
  <c r="LX29" i="2"/>
  <c r="LZ29" i="2"/>
  <c r="MA30" i="2"/>
  <c r="MB30" i="2"/>
  <c r="MD30" i="2"/>
  <c r="MC30" i="2"/>
  <c r="LU34" i="2"/>
  <c r="LV34" i="2"/>
  <c r="LW34" i="2"/>
  <c r="LY34" i="2"/>
  <c r="LX34" i="2"/>
  <c r="LZ34" i="2"/>
  <c r="MA34" i="2"/>
  <c r="MB34" i="2"/>
  <c r="MD34" i="2"/>
  <c r="MC34" i="2"/>
  <c r="LH12" i="2"/>
  <c r="LI12" i="2"/>
  <c r="LK12" i="2"/>
  <c r="LJ12" i="2"/>
  <c r="LH13" i="2"/>
  <c r="LI13" i="2"/>
  <c r="LK13" i="2"/>
  <c r="LJ13" i="2"/>
  <c r="LH14" i="2"/>
  <c r="LI14" i="2"/>
  <c r="LK14" i="2"/>
  <c r="LJ14" i="2"/>
  <c r="LH15" i="2"/>
  <c r="LI15" i="2"/>
  <c r="LK15" i="2"/>
  <c r="LJ15" i="2"/>
  <c r="LH16" i="2"/>
  <c r="LI16" i="2"/>
  <c r="LK16" i="2"/>
  <c r="LJ16" i="2"/>
  <c r="LH17" i="2"/>
  <c r="LI17" i="2"/>
  <c r="LK17" i="2"/>
  <c r="LJ17" i="2"/>
  <c r="LH18" i="2"/>
  <c r="LI18" i="2"/>
  <c r="LK18" i="2"/>
  <c r="LJ18" i="2"/>
  <c r="LH19" i="2"/>
  <c r="LI19" i="2"/>
  <c r="LK19" i="2"/>
  <c r="LJ19" i="2"/>
  <c r="LH20" i="2"/>
  <c r="LI20" i="2"/>
  <c r="LK20" i="2"/>
  <c r="LJ20" i="2"/>
  <c r="LH21" i="2"/>
  <c r="LI21" i="2"/>
  <c r="LK21" i="2"/>
  <c r="LJ21" i="2"/>
  <c r="LH22" i="2"/>
  <c r="LI22" i="2"/>
  <c r="LK22" i="2"/>
  <c r="LJ22" i="2"/>
  <c r="LH23" i="2"/>
  <c r="LI23" i="2"/>
  <c r="LK23" i="2"/>
  <c r="LJ23" i="2"/>
  <c r="LH24" i="2"/>
  <c r="LI24" i="2"/>
  <c r="LK24" i="2"/>
  <c r="LJ24" i="2"/>
  <c r="LH25" i="2"/>
  <c r="LI25" i="2"/>
  <c r="LK25" i="2"/>
  <c r="LJ25" i="2"/>
  <c r="LH26" i="2"/>
  <c r="LI26" i="2"/>
  <c r="LK26" i="2"/>
  <c r="LJ26" i="2"/>
  <c r="LH27" i="2"/>
  <c r="LI27" i="2"/>
  <c r="LK27" i="2"/>
  <c r="LJ27" i="2"/>
  <c r="LH28" i="2"/>
  <c r="LI28" i="2"/>
  <c r="LK28" i="2"/>
  <c r="LJ28" i="2"/>
  <c r="LH29" i="2"/>
  <c r="LI29" i="2"/>
  <c r="LK29" i="2"/>
  <c r="LJ29" i="2"/>
  <c r="LO30" i="2"/>
  <c r="LP30" i="2"/>
  <c r="LR30" i="2"/>
  <c r="LQ30" i="2"/>
  <c r="LH32" i="2"/>
  <c r="LI32" i="2"/>
  <c r="LK32" i="2"/>
  <c r="LJ32" i="2"/>
  <c r="LH33" i="2"/>
  <c r="LI33" i="2"/>
  <c r="LK33" i="2"/>
  <c r="LJ33" i="2"/>
  <c r="LO34" i="2"/>
  <c r="LP34" i="2"/>
  <c r="LR34" i="2"/>
  <c r="LQ34" i="2"/>
  <c r="CK12" i="2"/>
  <c r="CU12" i="2"/>
  <c r="CK13" i="2"/>
  <c r="CU13" i="2"/>
  <c r="CK14" i="2"/>
  <c r="CU14" i="2"/>
  <c r="CK15" i="2"/>
  <c r="CU15" i="2"/>
  <c r="CK16" i="2"/>
  <c r="CU16" i="2"/>
  <c r="CK17" i="2"/>
  <c r="CU17" i="2"/>
  <c r="CK18" i="2"/>
  <c r="CU18" i="2"/>
  <c r="CK19" i="2"/>
  <c r="CU19" i="2"/>
  <c r="CK20" i="2"/>
  <c r="CU20" i="2"/>
  <c r="CK21" i="2"/>
  <c r="CU21" i="2"/>
  <c r="CK22" i="2"/>
  <c r="CU22" i="2"/>
  <c r="CK23" i="2"/>
  <c r="CU23" i="2"/>
  <c r="CK24" i="2"/>
  <c r="CU24" i="2"/>
  <c r="CK25" i="2"/>
  <c r="CU25" i="2"/>
  <c r="CK26" i="2"/>
  <c r="CU26" i="2"/>
  <c r="CK27" i="2"/>
  <c r="CU27" i="2"/>
  <c r="CK28" i="2"/>
  <c r="CU28" i="2"/>
  <c r="CK29" i="2"/>
  <c r="CU29" i="2"/>
  <c r="CP30" i="2"/>
  <c r="CZ30" i="2"/>
  <c r="CK32" i="2"/>
  <c r="CK33" i="2"/>
  <c r="CP34" i="2"/>
  <c r="CU34" i="2"/>
  <c r="CZ34" i="2"/>
  <c r="MU37" i="2" l="1"/>
  <c r="SX32" i="2"/>
  <c r="SX33" i="2"/>
  <c r="NG37" i="2"/>
  <c r="NG42" i="2" s="1"/>
  <c r="SX29" i="2"/>
  <c r="SX28" i="2"/>
  <c r="SX27" i="2"/>
  <c r="SX26" i="2"/>
  <c r="SX25" i="2"/>
  <c r="SX24" i="2"/>
  <c r="SX23" i="2"/>
  <c r="SX22" i="2"/>
  <c r="SX21" i="2"/>
  <c r="SX20" i="2"/>
  <c r="SX19" i="2"/>
  <c r="SX18" i="2"/>
  <c r="SX17" i="2"/>
  <c r="SX16" i="2"/>
  <c r="SX15" i="2"/>
  <c r="SX14" i="2"/>
  <c r="SX13" i="2"/>
  <c r="SX12" i="2"/>
  <c r="UC32" i="2"/>
  <c r="UC29" i="2"/>
  <c r="UC28" i="2"/>
  <c r="UC27" i="2"/>
  <c r="UC26" i="2"/>
  <c r="UC25" i="2"/>
  <c r="UC24" i="2"/>
  <c r="UC23" i="2"/>
  <c r="UC22" i="2"/>
  <c r="UC21" i="2"/>
  <c r="UC20" i="2"/>
  <c r="UC19" i="2"/>
  <c r="UC18" i="2"/>
  <c r="UC17" i="2"/>
  <c r="UC16" i="2"/>
  <c r="UC15" i="2"/>
  <c r="UC33" i="2"/>
  <c r="UI29" i="2"/>
  <c r="UQ29" i="2" s="1"/>
  <c r="UO29" i="2" s="1"/>
  <c r="UI28" i="2"/>
  <c r="UI27" i="2"/>
  <c r="UQ27" i="2" s="1"/>
  <c r="UO27" i="2" s="1"/>
  <c r="UI26" i="2"/>
  <c r="UQ26" i="2" s="1"/>
  <c r="UO26" i="2" s="1"/>
  <c r="UI25" i="2"/>
  <c r="UQ25" i="2" s="1"/>
  <c r="UO25" i="2" s="1"/>
  <c r="UI24" i="2"/>
  <c r="UQ24" i="2" s="1"/>
  <c r="UO24" i="2" s="1"/>
  <c r="UI23" i="2"/>
  <c r="UQ23" i="2" s="1"/>
  <c r="UO23" i="2" s="1"/>
  <c r="UI22" i="2"/>
  <c r="UQ22" i="2" s="1"/>
  <c r="UO22" i="2" s="1"/>
  <c r="UI21" i="2"/>
  <c r="UQ21" i="2" s="1"/>
  <c r="UO21" i="2" s="1"/>
  <c r="UI20" i="2"/>
  <c r="UQ20" i="2" s="1"/>
  <c r="UO20" i="2" s="1"/>
  <c r="UI19" i="2"/>
  <c r="UQ19" i="2" s="1"/>
  <c r="UO19" i="2" s="1"/>
  <c r="UI18" i="2"/>
  <c r="UQ18" i="2" s="1"/>
  <c r="UO18" i="2" s="1"/>
  <c r="UI17" i="2"/>
  <c r="UQ17" i="2" s="1"/>
  <c r="UO17" i="2" s="1"/>
  <c r="UI16" i="2"/>
  <c r="UQ16" i="2" s="1"/>
  <c r="UO16" i="2" s="1"/>
  <c r="UI15" i="2"/>
  <c r="UQ15" i="2" s="1"/>
  <c r="UO15" i="2" s="1"/>
  <c r="UI14" i="2"/>
  <c r="UQ14" i="2" s="1"/>
  <c r="UO14" i="2" s="1"/>
  <c r="UI13" i="2"/>
  <c r="UQ13" i="2" s="1"/>
  <c r="UO13" i="2" s="1"/>
  <c r="UI12" i="2"/>
  <c r="UQ12" i="2" s="1"/>
  <c r="UO12" i="2" s="1"/>
  <c r="UC14" i="2"/>
  <c r="UC13" i="2"/>
  <c r="UC12" i="2"/>
  <c r="UQ28" i="2"/>
  <c r="UO28" i="2" s="1"/>
  <c r="NK14" i="2"/>
  <c r="FX12" i="18"/>
  <c r="FZ12" i="18" s="1"/>
  <c r="NK15" i="2"/>
  <c r="FX13" i="18"/>
  <c r="FZ13" i="18" s="1"/>
  <c r="FA31" i="18"/>
  <c r="EZ31" i="18"/>
  <c r="FA30" i="18"/>
  <c r="EZ30" i="18"/>
  <c r="FA27" i="18"/>
  <c r="EZ27" i="18"/>
  <c r="FA26" i="18"/>
  <c r="EZ26" i="18"/>
  <c r="FA25" i="18"/>
  <c r="EZ25" i="18"/>
  <c r="FA24" i="18"/>
  <c r="EZ24" i="18"/>
  <c r="FA23" i="18"/>
  <c r="EZ23" i="18"/>
  <c r="FA22" i="18"/>
  <c r="EZ22" i="18"/>
  <c r="FA21" i="18"/>
  <c r="EZ21" i="18"/>
  <c r="FA20" i="18"/>
  <c r="EZ20" i="18"/>
  <c r="FA19" i="18"/>
  <c r="EZ19" i="18"/>
  <c r="FA18" i="18"/>
  <c r="EZ18" i="18"/>
  <c r="FA17" i="18"/>
  <c r="EZ17" i="18"/>
  <c r="FA16" i="18"/>
  <c r="EZ16" i="18"/>
  <c r="FA15" i="18"/>
  <c r="EZ15" i="18"/>
  <c r="FA14" i="18"/>
  <c r="EZ14" i="18"/>
  <c r="FA13" i="18"/>
  <c r="EZ13" i="18"/>
  <c r="FA12" i="18"/>
  <c r="EZ12" i="18"/>
  <c r="FA11" i="18"/>
  <c r="EZ11" i="18"/>
  <c r="FA10" i="18"/>
  <c r="EZ10" i="18"/>
  <c r="NK16" i="2"/>
  <c r="FX14" i="18"/>
  <c r="FZ14" i="18" s="1"/>
  <c r="NK12" i="2"/>
  <c r="FX10" i="18"/>
  <c r="FC28" i="18"/>
  <c r="FC35" i="18" s="1"/>
  <c r="FI31" i="18"/>
  <c r="FH31" i="18"/>
  <c r="FI30" i="18"/>
  <c r="FH30" i="18"/>
  <c r="FI27" i="18"/>
  <c r="FH27" i="18"/>
  <c r="FI26" i="18"/>
  <c r="FH26" i="18"/>
  <c r="FI25" i="18"/>
  <c r="FH25" i="18"/>
  <c r="FI24" i="18"/>
  <c r="FH24" i="18"/>
  <c r="FI23" i="18"/>
  <c r="FH23" i="18"/>
  <c r="FI22" i="18"/>
  <c r="FH22" i="18"/>
  <c r="FI21" i="18"/>
  <c r="FH21" i="18"/>
  <c r="FI20" i="18"/>
  <c r="FH20" i="18"/>
  <c r="FI19" i="18"/>
  <c r="FH19" i="18"/>
  <c r="FI18" i="18"/>
  <c r="FH18" i="18"/>
  <c r="FI17" i="18"/>
  <c r="FH17" i="18"/>
  <c r="FI16" i="18"/>
  <c r="FH16" i="18"/>
  <c r="FI15" i="18"/>
  <c r="FH15" i="18"/>
  <c r="FI14" i="18"/>
  <c r="FH14" i="18"/>
  <c r="FI13" i="18"/>
  <c r="FH13" i="18"/>
  <c r="FI12" i="18"/>
  <c r="FH12" i="18"/>
  <c r="FI11" i="18"/>
  <c r="FH11" i="18"/>
  <c r="FI10" i="18"/>
  <c r="FH10" i="18"/>
  <c r="NK17" i="2"/>
  <c r="FX15" i="18"/>
  <c r="FZ15" i="18" s="1"/>
  <c r="NK13" i="2"/>
  <c r="FX11" i="18"/>
  <c r="FZ11" i="18" s="1"/>
  <c r="FK28" i="18"/>
  <c r="FK35" i="18" s="1"/>
  <c r="LG33" i="2"/>
  <c r="VV30" i="2"/>
  <c r="VV37" i="2" s="1"/>
  <c r="NK29" i="2"/>
  <c r="D255" i="8"/>
  <c r="NK25" i="2"/>
  <c r="LG29" i="2"/>
  <c r="LG28" i="2"/>
  <c r="LG27" i="2"/>
  <c r="LG26" i="2"/>
  <c r="LG25" i="2"/>
  <c r="LG24" i="2"/>
  <c r="LG23" i="2"/>
  <c r="LG22" i="2"/>
  <c r="LG21" i="2"/>
  <c r="LG20" i="2"/>
  <c r="LG19" i="2"/>
  <c r="LG18" i="2"/>
  <c r="LG17" i="2"/>
  <c r="LG16" i="2"/>
  <c r="LG15" i="2"/>
  <c r="LG14" i="2"/>
  <c r="LG13" i="2"/>
  <c r="LG12" i="2"/>
  <c r="NK27" i="2"/>
  <c r="NK23" i="2"/>
  <c r="NK19" i="2"/>
  <c r="NK21" i="2"/>
  <c r="NK26" i="2"/>
  <c r="NK28" i="2"/>
  <c r="NK24" i="2"/>
  <c r="NK20" i="2"/>
  <c r="NK22" i="2"/>
  <c r="UN37" i="2"/>
  <c r="UH38" i="2" s="1"/>
  <c r="UH42" i="2" s="1"/>
  <c r="VQ37" i="2"/>
  <c r="VU30" i="2"/>
  <c r="VU37" i="2" s="1"/>
  <c r="WG34" i="2"/>
  <c r="VO29" i="2"/>
  <c r="VO27" i="2"/>
  <c r="VO25" i="2"/>
  <c r="VO23" i="2"/>
  <c r="VO21" i="2"/>
  <c r="VO19" i="2"/>
  <c r="VO17" i="2"/>
  <c r="VO15" i="2"/>
  <c r="VO13" i="2"/>
  <c r="NB37" i="2"/>
  <c r="UM37" i="2"/>
  <c r="RU18" i="2"/>
  <c r="RU17" i="2"/>
  <c r="RU16" i="2"/>
  <c r="RU15" i="2"/>
  <c r="RU14" i="2"/>
  <c r="RU32" i="2"/>
  <c r="VF37" i="2"/>
  <c r="VF42" i="2" s="1"/>
  <c r="RU13" i="2"/>
  <c r="RU12" i="2"/>
  <c r="RU19" i="2"/>
  <c r="SS34" i="2"/>
  <c r="RU33" i="2"/>
  <c r="SS30" i="2"/>
  <c r="RU29" i="2"/>
  <c r="RU28" i="2"/>
  <c r="RU27" i="2"/>
  <c r="RU26" i="2"/>
  <c r="RU25" i="2"/>
  <c r="RU24" i="2"/>
  <c r="RU23" i="2"/>
  <c r="RU22" i="2"/>
  <c r="RU21" i="2"/>
  <c r="RU20" i="2"/>
  <c r="SJ37" i="2"/>
  <c r="SJ38" i="2" s="1"/>
  <c r="ST34" i="2"/>
  <c r="SF37" i="2"/>
  <c r="SF38" i="2" s="1"/>
  <c r="VZ37" i="2"/>
  <c r="MA37" i="2"/>
  <c r="LO37" i="2"/>
  <c r="MV37" i="2"/>
  <c r="UV30" i="2"/>
  <c r="SN37" i="2"/>
  <c r="SN38" i="2" s="1"/>
  <c r="VN37" i="2"/>
  <c r="TI37" i="2"/>
  <c r="TI42" i="2" s="1"/>
  <c r="UG37" i="2"/>
  <c r="MD37" i="2"/>
  <c r="NH37" i="2"/>
  <c r="NH42" i="2" s="1"/>
  <c r="MT30" i="2"/>
  <c r="MT37" i="2" s="1"/>
  <c r="UR34" i="2"/>
  <c r="LR37" i="2"/>
  <c r="SP37" i="2"/>
  <c r="SP38" i="2" s="1"/>
  <c r="SH37" i="2"/>
  <c r="SH38" i="2" s="1"/>
  <c r="WH30" i="2"/>
  <c r="VA34" i="2"/>
  <c r="VR37" i="2"/>
  <c r="UT34" i="2"/>
  <c r="VH20" i="2"/>
  <c r="VG20" i="2" s="1"/>
  <c r="MK30" i="2"/>
  <c r="MK37" i="2" s="1"/>
  <c r="NL29" i="2"/>
  <c r="NL25" i="2"/>
  <c r="NL18" i="2"/>
  <c r="VH34" i="2"/>
  <c r="MJ27" i="2"/>
  <c r="MY34" i="2"/>
  <c r="MN30" i="2"/>
  <c r="MN37" i="2" s="1"/>
  <c r="MM30" i="2"/>
  <c r="MM37" i="2" s="1"/>
  <c r="NL24" i="2"/>
  <c r="MJ29" i="2"/>
  <c r="MJ25" i="2"/>
  <c r="NL23" i="2"/>
  <c r="NL19" i="2"/>
  <c r="NL15" i="2"/>
  <c r="NL14" i="2"/>
  <c r="VH16" i="2"/>
  <c r="VG16" i="2" s="1"/>
  <c r="VH17" i="2"/>
  <c r="VG17" i="2" s="1"/>
  <c r="US17" i="2"/>
  <c r="MH29" i="2"/>
  <c r="MI28" i="2"/>
  <c r="MF27" i="2"/>
  <c r="MG26" i="2"/>
  <c r="MH25" i="2"/>
  <c r="MI24" i="2"/>
  <c r="MF23" i="2"/>
  <c r="MG22" i="2"/>
  <c r="MH21" i="2"/>
  <c r="MI20" i="2"/>
  <c r="MF19" i="2"/>
  <c r="MG18" i="2"/>
  <c r="MH17" i="2"/>
  <c r="MI16" i="2"/>
  <c r="MF15" i="2"/>
  <c r="MG14" i="2"/>
  <c r="MH13" i="2"/>
  <c r="MI12" i="2"/>
  <c r="VL30" i="2"/>
  <c r="VL37" i="2" s="1"/>
  <c r="VH27" i="2"/>
  <c r="VG27" i="2" s="1"/>
  <c r="US27" i="2"/>
  <c r="SI34" i="2"/>
  <c r="VC29" i="2"/>
  <c r="R28" i="1" s="1"/>
  <c r="VC27" i="2"/>
  <c r="VC25" i="2"/>
  <c r="VC23" i="2"/>
  <c r="VC21" i="2"/>
  <c r="R20" i="1" s="1"/>
  <c r="VC16" i="2"/>
  <c r="R15" i="1" s="1"/>
  <c r="VC14" i="2"/>
  <c r="VC12" i="2"/>
  <c r="VC20" i="2"/>
  <c r="VC18" i="2"/>
  <c r="VH28" i="2"/>
  <c r="VG28" i="2" s="1"/>
  <c r="VH26" i="2"/>
  <c r="VG26" i="2" s="1"/>
  <c r="VC28" i="2"/>
  <c r="VC26" i="2"/>
  <c r="VC24" i="2"/>
  <c r="VC22" i="2"/>
  <c r="R21" i="1" s="1"/>
  <c r="VC15" i="2"/>
  <c r="VC13" i="2"/>
  <c r="SK30" i="2"/>
  <c r="VC19" i="2"/>
  <c r="VC17" i="2"/>
  <c r="R16" i="1" s="1"/>
  <c r="VE34" i="2"/>
  <c r="WH34" i="2"/>
  <c r="VP29" i="2"/>
  <c r="VP27" i="2"/>
  <c r="VP25" i="2"/>
  <c r="VP23" i="2"/>
  <c r="VP21" i="2"/>
  <c r="VP19" i="2"/>
  <c r="WD30" i="2"/>
  <c r="WD37" i="2" s="1"/>
  <c r="VP17" i="2"/>
  <c r="VP15" i="2"/>
  <c r="VP13" i="2"/>
  <c r="UZ37" i="2"/>
  <c r="VY37" i="2"/>
  <c r="VO34" i="2"/>
  <c r="WG30" i="2"/>
  <c r="MZ37" i="2"/>
  <c r="VB37" i="2"/>
  <c r="VB42" i="2" s="1"/>
  <c r="WC30" i="2"/>
  <c r="WC37" i="2" s="1"/>
  <c r="MG29" i="2"/>
  <c r="MH28" i="2"/>
  <c r="MI27" i="2"/>
  <c r="MF26" i="2"/>
  <c r="MG25" i="2"/>
  <c r="MH24" i="2"/>
  <c r="MI23" i="2"/>
  <c r="MF22" i="2"/>
  <c r="MG21" i="2"/>
  <c r="MH20" i="2"/>
  <c r="MI19" i="2"/>
  <c r="MF18" i="2"/>
  <c r="MG17" i="2"/>
  <c r="MH16" i="2"/>
  <c r="MI15" i="2"/>
  <c r="MF14" i="2"/>
  <c r="MG13" i="2"/>
  <c r="MH12" i="2"/>
  <c r="NO21" i="2"/>
  <c r="NO17" i="2"/>
  <c r="NO13" i="2"/>
  <c r="SZ34" i="2"/>
  <c r="MG28" i="2"/>
  <c r="MH27" i="2"/>
  <c r="MI26" i="2"/>
  <c r="MG24" i="2"/>
  <c r="MH23" i="2"/>
  <c r="MI22" i="2"/>
  <c r="MG20" i="2"/>
  <c r="MH19" i="2"/>
  <c r="MI18" i="2"/>
  <c r="MG16" i="2"/>
  <c r="MH15" i="2"/>
  <c r="MI14" i="2"/>
  <c r="MG12" i="2"/>
  <c r="MI29" i="2"/>
  <c r="MF28" i="2"/>
  <c r="MG27" i="2"/>
  <c r="MH26" i="2"/>
  <c r="MI25" i="2"/>
  <c r="MG23" i="2"/>
  <c r="MH22" i="2"/>
  <c r="MI21" i="2"/>
  <c r="MG19" i="2"/>
  <c r="MH18" i="2"/>
  <c r="MI17" i="2"/>
  <c r="MG15" i="2"/>
  <c r="MH14" i="2"/>
  <c r="NC15" i="2"/>
  <c r="NO23" i="2"/>
  <c r="SY25" i="2"/>
  <c r="LK34" i="2"/>
  <c r="TG34" i="2"/>
  <c r="UE30" i="2"/>
  <c r="MR30" i="2"/>
  <c r="MR37" i="2" s="1"/>
  <c r="SY13" i="2"/>
  <c r="UJ30" i="2"/>
  <c r="UJ37" i="2" s="1"/>
  <c r="VH25" i="2"/>
  <c r="VG25" i="2" s="1"/>
  <c r="VH24" i="2"/>
  <c r="VG24" i="2" s="1"/>
  <c r="VH22" i="2"/>
  <c r="VG22" i="2" s="1"/>
  <c r="VH15" i="2"/>
  <c r="VG15" i="2" s="1"/>
  <c r="SZ30" i="2"/>
  <c r="UE34" i="2"/>
  <c r="MS30" i="2"/>
  <c r="MS37" i="2" s="1"/>
  <c r="MP30" i="2"/>
  <c r="MP37" i="2" s="1"/>
  <c r="SY23" i="2"/>
  <c r="UT30" i="2"/>
  <c r="VH23" i="2"/>
  <c r="VG23" i="2" s="1"/>
  <c r="VH18" i="2"/>
  <c r="VG18" i="2" s="1"/>
  <c r="US18" i="2"/>
  <c r="SO30" i="2"/>
  <c r="SE34" i="2"/>
  <c r="SI30" i="2"/>
  <c r="UD34" i="2"/>
  <c r="LU29" i="2"/>
  <c r="LU25" i="2"/>
  <c r="LU21" i="2"/>
  <c r="NC28" i="2"/>
  <c r="NC16" i="2"/>
  <c r="SY17" i="2"/>
  <c r="SY15" i="2"/>
  <c r="VH29" i="2"/>
  <c r="VG29" i="2" s="1"/>
  <c r="VH21" i="2"/>
  <c r="VG21" i="2" s="1"/>
  <c r="US21" i="2"/>
  <c r="VH14" i="2"/>
  <c r="VG14" i="2" s="1"/>
  <c r="US12" i="2"/>
  <c r="LJ34" i="2"/>
  <c r="UK30" i="2"/>
  <c r="UK37" i="2" s="1"/>
  <c r="MO22" i="2"/>
  <c r="MO14" i="2"/>
  <c r="SY22" i="2"/>
  <c r="SY20" i="2"/>
  <c r="MJ19" i="2"/>
  <c r="MJ24" i="2"/>
  <c r="MJ20" i="2"/>
  <c r="MJ16" i="2"/>
  <c r="MJ21" i="2"/>
  <c r="MJ13" i="2"/>
  <c r="VJ30" i="2"/>
  <c r="VP34" i="2"/>
  <c r="NL27" i="2"/>
  <c r="VJ34" i="2"/>
  <c r="VD30" i="2"/>
  <c r="VD37" i="2" s="1"/>
  <c r="UY30" i="2"/>
  <c r="US16" i="2"/>
  <c r="WE37" i="2"/>
  <c r="WA37" i="2"/>
  <c r="VW37" i="2"/>
  <c r="VS37" i="2"/>
  <c r="VO28" i="2"/>
  <c r="VO26" i="2"/>
  <c r="VO24" i="2"/>
  <c r="VO22" i="2"/>
  <c r="VO20" i="2"/>
  <c r="VO18" i="2"/>
  <c r="VO16" i="2"/>
  <c r="VO14" i="2"/>
  <c r="VO12" i="2"/>
  <c r="VC34" i="2"/>
  <c r="UU34" i="2"/>
  <c r="US25" i="2"/>
  <c r="US24" i="2"/>
  <c r="US23" i="2"/>
  <c r="US22" i="2"/>
  <c r="VH19" i="2"/>
  <c r="VG19" i="2" s="1"/>
  <c r="US15" i="2"/>
  <c r="WF37" i="2"/>
  <c r="WB37" i="2"/>
  <c r="VX37" i="2"/>
  <c r="VT37" i="2"/>
  <c r="VP28" i="2"/>
  <c r="VP26" i="2"/>
  <c r="VP24" i="2"/>
  <c r="VP22" i="2"/>
  <c r="VP20" i="2"/>
  <c r="VP18" i="2"/>
  <c r="VP16" i="2"/>
  <c r="VP14" i="2"/>
  <c r="VP12" i="2"/>
  <c r="SY19" i="2"/>
  <c r="US29" i="2"/>
  <c r="US28" i="2"/>
  <c r="UU30" i="2"/>
  <c r="NC24" i="2"/>
  <c r="SY27" i="2"/>
  <c r="VM34" i="2"/>
  <c r="UV34" i="2"/>
  <c r="VE30" i="2"/>
  <c r="VI30" i="2"/>
  <c r="TG30" i="2"/>
  <c r="US33" i="2"/>
  <c r="UY34" i="2"/>
  <c r="VK29" i="2"/>
  <c r="US26" i="2"/>
  <c r="VK24" i="2"/>
  <c r="US20" i="2"/>
  <c r="US19" i="2"/>
  <c r="US14" i="2"/>
  <c r="VM30" i="2"/>
  <c r="US32" i="2"/>
  <c r="VK25" i="2"/>
  <c r="VK18" i="2"/>
  <c r="US13" i="2"/>
  <c r="TP37" i="2"/>
  <c r="TP42" i="2" s="1"/>
  <c r="VK34" i="2"/>
  <c r="VA30" i="2"/>
  <c r="UQ34" i="2"/>
  <c r="VI34" i="2"/>
  <c r="VG34" i="2"/>
  <c r="SY32" i="2"/>
  <c r="SY18" i="2"/>
  <c r="SY16" i="2"/>
  <c r="UD30" i="2"/>
  <c r="VK28" i="2"/>
  <c r="VK27" i="2"/>
  <c r="VK26" i="2"/>
  <c r="VK23" i="2"/>
  <c r="VK22" i="2"/>
  <c r="VK21" i="2"/>
  <c r="VK20" i="2"/>
  <c r="VK19" i="2"/>
  <c r="VK17" i="2"/>
  <c r="VK16" i="2"/>
  <c r="VK15" i="2"/>
  <c r="VK14" i="2"/>
  <c r="SY21" i="2"/>
  <c r="VH13" i="2"/>
  <c r="VG13" i="2" s="1"/>
  <c r="VH12" i="2"/>
  <c r="SY28" i="2"/>
  <c r="NO28" i="2"/>
  <c r="SG30" i="2"/>
  <c r="TH34" i="2"/>
  <c r="TA30" i="2"/>
  <c r="TA37" i="2" s="1"/>
  <c r="SY14" i="2"/>
  <c r="SY29" i="2"/>
  <c r="TH30" i="2"/>
  <c r="TJ37" i="2"/>
  <c r="TJ42" i="2" s="1"/>
  <c r="SY26" i="2"/>
  <c r="SY24" i="2"/>
  <c r="SY12" i="2"/>
  <c r="NO22" i="2"/>
  <c r="SU37" i="2"/>
  <c r="SL37" i="2"/>
  <c r="SL38" i="2" s="1"/>
  <c r="SQ33" i="2"/>
  <c r="SM34" i="2"/>
  <c r="NC19" i="2"/>
  <c r="NR30" i="2"/>
  <c r="NR37" i="2" s="1"/>
  <c r="SY33" i="2"/>
  <c r="NS37" i="2"/>
  <c r="NN30" i="2"/>
  <c r="NN37" i="2" s="1"/>
  <c r="NO26" i="2"/>
  <c r="SK34" i="2"/>
  <c r="SR34" i="2"/>
  <c r="SO34" i="2"/>
  <c r="SG34" i="2"/>
  <c r="SQ32" i="2"/>
  <c r="SR30" i="2"/>
  <c r="SM30" i="2"/>
  <c r="NL17" i="2"/>
  <c r="NO15" i="2"/>
  <c r="NO24" i="2"/>
  <c r="NO20" i="2"/>
  <c r="SE30" i="2"/>
  <c r="MJ17" i="2"/>
  <c r="NC20" i="2"/>
  <c r="NC12" i="2"/>
  <c r="NT37" i="2"/>
  <c r="SQ29" i="2"/>
  <c r="SQ28" i="2"/>
  <c r="SQ27" i="2"/>
  <c r="SQ26" i="2"/>
  <c r="SQ25" i="2"/>
  <c r="SQ24" i="2"/>
  <c r="SQ23" i="2"/>
  <c r="SQ22" i="2"/>
  <c r="SQ21" i="2"/>
  <c r="SQ20" i="2"/>
  <c r="SQ19" i="2"/>
  <c r="SQ18" i="2"/>
  <c r="SQ17" i="2"/>
  <c r="SQ16" i="2"/>
  <c r="SQ15" i="2"/>
  <c r="SQ14" i="2"/>
  <c r="SQ13" i="2"/>
  <c r="SQ12" i="2"/>
  <c r="NO18" i="2"/>
  <c r="NO14" i="2"/>
  <c r="NF30" i="2"/>
  <c r="NF37" i="2" s="1"/>
  <c r="NA30" i="2"/>
  <c r="NC27" i="2"/>
  <c r="NC23" i="2"/>
  <c r="LU17" i="2"/>
  <c r="NA34" i="2"/>
  <c r="NC29" i="2"/>
  <c r="NC21" i="2"/>
  <c r="NC17" i="2"/>
  <c r="NC13" i="2"/>
  <c r="NP30" i="2"/>
  <c r="NP37" i="2" s="1"/>
  <c r="NO29" i="2"/>
  <c r="NL28" i="2"/>
  <c r="NO27" i="2"/>
  <c r="NL26" i="2"/>
  <c r="NO25" i="2"/>
  <c r="NL21" i="2"/>
  <c r="NL20" i="2"/>
  <c r="NO19" i="2"/>
  <c r="NO16" i="2"/>
  <c r="NL13" i="2"/>
  <c r="NO12" i="2"/>
  <c r="NQ30" i="2"/>
  <c r="NQ37" i="2" s="1"/>
  <c r="NM30" i="2"/>
  <c r="NM37" i="2" s="1"/>
  <c r="NL22" i="2"/>
  <c r="NL16" i="2"/>
  <c r="NL12" i="2"/>
  <c r="LN30" i="2"/>
  <c r="NC26" i="2"/>
  <c r="NC22" i="2"/>
  <c r="NC14" i="2"/>
  <c r="MQ30" i="2"/>
  <c r="MQ37" i="2" s="1"/>
  <c r="ML30" i="2"/>
  <c r="ML37" i="2" s="1"/>
  <c r="MY30" i="2"/>
  <c r="NJ28" i="2"/>
  <c r="NJ26" i="2"/>
  <c r="NJ24" i="2"/>
  <c r="NJ22" i="2"/>
  <c r="NJ20" i="2"/>
  <c r="NJ16" i="2"/>
  <c r="NJ14" i="2"/>
  <c r="NJ12" i="2"/>
  <c r="MO17" i="2"/>
  <c r="MJ12" i="2"/>
  <c r="MX37" i="2"/>
  <c r="MO18" i="2"/>
  <c r="NC25" i="2"/>
  <c r="NJ29" i="2"/>
  <c r="NJ27" i="2"/>
  <c r="NJ25" i="2"/>
  <c r="NJ23" i="2"/>
  <c r="NJ21" i="2"/>
  <c r="NJ19" i="2"/>
  <c r="NJ17" i="2"/>
  <c r="NJ15" i="2"/>
  <c r="NJ13" i="2"/>
  <c r="LQ37" i="2"/>
  <c r="LK30" i="2"/>
  <c r="MC37" i="2"/>
  <c r="MB37" i="2"/>
  <c r="MO29" i="2"/>
  <c r="MJ28" i="2"/>
  <c r="MJ26" i="2"/>
  <c r="MO23" i="2"/>
  <c r="MJ22" i="2"/>
  <c r="MO19" i="2"/>
  <c r="MJ18" i="2"/>
  <c r="MO15" i="2"/>
  <c r="MJ14" i="2"/>
  <c r="MO27" i="2"/>
  <c r="MO24" i="2"/>
  <c r="MJ23" i="2"/>
  <c r="MO20" i="2"/>
  <c r="MO16" i="2"/>
  <c r="MJ15" i="2"/>
  <c r="MO12" i="2"/>
  <c r="LI30" i="2"/>
  <c r="LZ30" i="2"/>
  <c r="LZ37" i="2" s="1"/>
  <c r="LU13" i="2"/>
  <c r="MO25" i="2"/>
  <c r="MO21" i="2"/>
  <c r="MO13" i="2"/>
  <c r="MO28" i="2"/>
  <c r="MO26" i="2"/>
  <c r="LI34" i="2"/>
  <c r="LU28" i="2"/>
  <c r="LU24" i="2"/>
  <c r="LU20" i="2"/>
  <c r="LU16" i="2"/>
  <c r="LX30" i="2"/>
  <c r="LX37" i="2" s="1"/>
  <c r="LU12" i="2"/>
  <c r="MI13" i="2"/>
  <c r="LH30" i="2"/>
  <c r="MF29" i="2"/>
  <c r="MF25" i="2"/>
  <c r="MF24" i="2"/>
  <c r="MF21" i="2"/>
  <c r="MF20" i="2"/>
  <c r="MF17" i="2"/>
  <c r="MF16" i="2"/>
  <c r="MF13" i="2"/>
  <c r="MF12" i="2"/>
  <c r="LW30" i="2"/>
  <c r="LW37" i="2" s="1"/>
  <c r="LU26" i="2"/>
  <c r="LU22" i="2"/>
  <c r="LU18" i="2"/>
  <c r="LU14" i="2"/>
  <c r="LN34" i="2"/>
  <c r="LH34" i="2"/>
  <c r="LP37" i="2"/>
  <c r="LY30" i="2"/>
  <c r="LY37" i="2" s="1"/>
  <c r="LU27" i="2"/>
  <c r="LU23" i="2"/>
  <c r="LU19" i="2"/>
  <c r="LU15" i="2"/>
  <c r="CP37" i="2"/>
  <c r="CZ37" i="2"/>
  <c r="LV30" i="2"/>
  <c r="LV37" i="2" s="1"/>
  <c r="LJ30" i="2"/>
  <c r="CK34" i="2"/>
  <c r="CK30" i="2"/>
  <c r="CU30" i="2"/>
  <c r="CU37" i="2" s="1"/>
  <c r="R27" i="1" l="1"/>
  <c r="R19" i="1"/>
  <c r="R23" i="1"/>
  <c r="R11" i="1"/>
  <c r="R13" i="1"/>
  <c r="R12" i="1"/>
  <c r="R24" i="1"/>
  <c r="R25" i="1"/>
  <c r="R17" i="1"/>
  <c r="R26" i="1"/>
  <c r="R18" i="1"/>
  <c r="R22" i="1"/>
  <c r="NI16" i="2"/>
  <c r="R14" i="1"/>
  <c r="SW33" i="2"/>
  <c r="UC34" i="2"/>
  <c r="SW32" i="2"/>
  <c r="UC30" i="2"/>
  <c r="UI30" i="2"/>
  <c r="UI37" i="2" s="1"/>
  <c r="N56" i="1" s="1"/>
  <c r="SW17" i="2"/>
  <c r="SW15" i="2"/>
  <c r="SW28" i="2"/>
  <c r="SW20" i="2"/>
  <c r="SW21" i="2"/>
  <c r="SW29" i="2"/>
  <c r="SW13" i="2"/>
  <c r="SW26" i="2"/>
  <c r="SW18" i="2"/>
  <c r="SW16" i="2"/>
  <c r="SW27" i="2"/>
  <c r="SW24" i="2"/>
  <c r="SW14" i="2"/>
  <c r="SW25" i="2"/>
  <c r="SW19" i="2"/>
  <c r="SW22" i="2"/>
  <c r="SW12" i="2"/>
  <c r="SW23" i="2"/>
  <c r="NI21" i="2"/>
  <c r="NI15" i="2"/>
  <c r="NI17" i="2"/>
  <c r="NI14" i="2"/>
  <c r="FA28" i="18"/>
  <c r="NI13" i="2"/>
  <c r="FH28" i="18"/>
  <c r="FH32" i="18"/>
  <c r="FA32" i="18"/>
  <c r="FZ10" i="18"/>
  <c r="FI28" i="18"/>
  <c r="FI32" i="18"/>
  <c r="EZ28" i="18"/>
  <c r="EZ32" i="18"/>
  <c r="NI19" i="2"/>
  <c r="NI24" i="2"/>
  <c r="NI25" i="2"/>
  <c r="NI29" i="2"/>
  <c r="NI26" i="2"/>
  <c r="NI23" i="2"/>
  <c r="LG30" i="2"/>
  <c r="NI20" i="2"/>
  <c r="NI27" i="2"/>
  <c r="NI22" i="2"/>
  <c r="NI28" i="2"/>
  <c r="VQ38" i="2"/>
  <c r="VQ41" i="2" s="1"/>
  <c r="VM37" i="2"/>
  <c r="UU37" i="2"/>
  <c r="UG38" i="2"/>
  <c r="TG37" i="2"/>
  <c r="RU34" i="2"/>
  <c r="SS37" i="2"/>
  <c r="UV37" i="2"/>
  <c r="WH37" i="2"/>
  <c r="VR38" i="2"/>
  <c r="VR41" i="2" s="1"/>
  <c r="RU30" i="2"/>
  <c r="SE37" i="2"/>
  <c r="UT37" i="2"/>
  <c r="VZ38" i="2"/>
  <c r="VZ41" i="2" s="1"/>
  <c r="CP38" i="2"/>
  <c r="CP41" i="2" s="1"/>
  <c r="ME21" i="2"/>
  <c r="WG37" i="2"/>
  <c r="SI37" i="2"/>
  <c r="UO34" i="2"/>
  <c r="UY37" i="2"/>
  <c r="LK37" i="2"/>
  <c r="SO37" i="2"/>
  <c r="SK37" i="2"/>
  <c r="VA37" i="2"/>
  <c r="VE37" i="2"/>
  <c r="SX48" i="2" s="1"/>
  <c r="ME26" i="2"/>
  <c r="ME27" i="2"/>
  <c r="VY38" i="2"/>
  <c r="VY41" i="2" s="1"/>
  <c r="ME22" i="2"/>
  <c r="MY37" i="2"/>
  <c r="VJ37" i="2"/>
  <c r="ME15" i="2"/>
  <c r="VC30" i="2"/>
  <c r="VC37" i="2" s="1"/>
  <c r="ME29" i="2"/>
  <c r="LJ37" i="2"/>
  <c r="ME17" i="2"/>
  <c r="ME25" i="2"/>
  <c r="TQ34" i="2"/>
  <c r="VO30" i="2"/>
  <c r="VO37" i="2" s="1"/>
  <c r="ME14" i="2"/>
  <c r="UP34" i="2"/>
  <c r="ME18" i="2"/>
  <c r="ME23" i="2"/>
  <c r="ME19" i="2"/>
  <c r="MH30" i="2"/>
  <c r="MH37" i="2" s="1"/>
  <c r="ME20" i="2"/>
  <c r="SZ37" i="2"/>
  <c r="ME16" i="2"/>
  <c r="ME24" i="2"/>
  <c r="MI30" i="2"/>
  <c r="MI37" i="2" s="1"/>
  <c r="ME28" i="2"/>
  <c r="MG30" i="2"/>
  <c r="MG37" i="2" s="1"/>
  <c r="US34" i="2"/>
  <c r="UD37" i="2"/>
  <c r="UD38" i="2" s="1"/>
  <c r="E17" i="11" s="1"/>
  <c r="UE37" i="2"/>
  <c r="UE38" i="2" s="1"/>
  <c r="SY34" i="2"/>
  <c r="TQ30" i="2"/>
  <c r="SQ34" i="2"/>
  <c r="VP30" i="2"/>
  <c r="VP37" i="2" s="1"/>
  <c r="VI37" i="2"/>
  <c r="TH37" i="2"/>
  <c r="US30" i="2"/>
  <c r="UR30" i="2"/>
  <c r="UR37" i="2" s="1"/>
  <c r="UQ30" i="2"/>
  <c r="UQ37" i="2" s="1"/>
  <c r="SY30" i="2"/>
  <c r="VK30" i="2"/>
  <c r="VK37" i="2" s="1"/>
  <c r="SG37" i="2"/>
  <c r="RW47" i="2" s="1"/>
  <c r="RW48" i="2" s="1"/>
  <c r="VH30" i="2"/>
  <c r="VH37" i="2" s="1"/>
  <c r="VG12" i="2"/>
  <c r="VG30" i="2" s="1"/>
  <c r="VG37" i="2" s="1"/>
  <c r="SM37" i="2"/>
  <c r="UP30" i="2"/>
  <c r="RS48" i="2"/>
  <c r="RS50" i="2" s="1"/>
  <c r="NO30" i="2"/>
  <c r="NO37" i="2" s="1"/>
  <c r="NA37" i="2"/>
  <c r="NA38" i="2" s="1"/>
  <c r="SR37" i="2"/>
  <c r="MO30" i="2"/>
  <c r="MO37" i="2" s="1"/>
  <c r="NL30" i="2"/>
  <c r="NL37" i="2" s="1"/>
  <c r="SQ30" i="2"/>
  <c r="LN37" i="2"/>
  <c r="NI12" i="2"/>
  <c r="LI37" i="2"/>
  <c r="MJ30" i="2"/>
  <c r="MJ37" i="2" s="1"/>
  <c r="LU30" i="2"/>
  <c r="LU37" i="2" s="1"/>
  <c r="ME13" i="2"/>
  <c r="LH37" i="2"/>
  <c r="MF30" i="2"/>
  <c r="MF37" i="2" s="1"/>
  <c r="ME12" i="2"/>
  <c r="CK37" i="2"/>
  <c r="CK38" i="2" s="1"/>
  <c r="FA35" i="18" l="1"/>
  <c r="SW48" i="2"/>
  <c r="UG42" i="2"/>
  <c r="F17" i="11"/>
  <c r="H17" i="11" s="1"/>
  <c r="G17" i="11"/>
  <c r="I17" i="11" s="1"/>
  <c r="UC37" i="2"/>
  <c r="FI35" i="18"/>
  <c r="FH35" i="18"/>
  <c r="EZ35" i="18"/>
  <c r="RU37" i="2"/>
  <c r="UP37" i="2"/>
  <c r="TQ37" i="2"/>
  <c r="US37" i="2"/>
  <c r="SY37" i="2"/>
  <c r="SQ37" i="2"/>
  <c r="UO30" i="2"/>
  <c r="UO37" i="2" s="1"/>
  <c r="ME30" i="2"/>
  <c r="ME37" i="2" s="1"/>
  <c r="EZ36" i="18" l="1"/>
  <c r="FH36" i="18"/>
  <c r="S32" i="6"/>
  <c r="S31" i="6"/>
  <c r="S12" i="6"/>
  <c r="S13" i="6"/>
  <c r="S14" i="6"/>
  <c r="S15" i="6"/>
  <c r="S16" i="6"/>
  <c r="S17" i="6"/>
  <c r="S18" i="6"/>
  <c r="S19" i="6"/>
  <c r="S20" i="6"/>
  <c r="S21" i="6"/>
  <c r="S22" i="6"/>
  <c r="S23" i="6"/>
  <c r="S24" i="6"/>
  <c r="S25" i="6"/>
  <c r="S26" i="6"/>
  <c r="S27" i="6"/>
  <c r="S28" i="6"/>
  <c r="S11" i="6"/>
  <c r="FI33" i="2" l="1"/>
  <c r="FH33" i="2"/>
  <c r="FI32" i="2"/>
  <c r="AZ30" i="18" s="1"/>
  <c r="FH32" i="2"/>
  <c r="FH13" i="2"/>
  <c r="FI13" i="2"/>
  <c r="AZ11" i="18" s="1"/>
  <c r="FH14" i="2"/>
  <c r="FI14" i="2"/>
  <c r="FH15" i="2"/>
  <c r="FI15" i="2"/>
  <c r="FH16" i="2"/>
  <c r="FI16" i="2"/>
  <c r="FH17" i="2"/>
  <c r="FI17" i="2"/>
  <c r="AZ15" i="18" s="1"/>
  <c r="FH18" i="2"/>
  <c r="FI18" i="2"/>
  <c r="FH19" i="2"/>
  <c r="FI19" i="2"/>
  <c r="FH20" i="2"/>
  <c r="FI20" i="2"/>
  <c r="FH21" i="2"/>
  <c r="FI21" i="2"/>
  <c r="AZ19" i="18" s="1"/>
  <c r="FH22" i="2"/>
  <c r="FI22" i="2"/>
  <c r="FH23" i="2"/>
  <c r="FI23" i="2"/>
  <c r="FH24" i="2"/>
  <c r="FI24" i="2"/>
  <c r="FH25" i="2"/>
  <c r="FI25" i="2"/>
  <c r="AZ23" i="18" s="1"/>
  <c r="FH26" i="2"/>
  <c r="FI26" i="2"/>
  <c r="FH27" i="2"/>
  <c r="FI27" i="2"/>
  <c r="FH28" i="2"/>
  <c r="FI28" i="2"/>
  <c r="FH29" i="2"/>
  <c r="FI29" i="2"/>
  <c r="AZ27" i="18" s="1"/>
  <c r="FI12" i="2"/>
  <c r="FH12" i="2"/>
  <c r="FJ33" i="2"/>
  <c r="FJ32" i="2"/>
  <c r="FJ29" i="2"/>
  <c r="FJ28" i="2"/>
  <c r="FJ27" i="2"/>
  <c r="FJ26" i="2"/>
  <c r="FJ25" i="2"/>
  <c r="FJ24" i="2"/>
  <c r="FJ23" i="2"/>
  <c r="FJ22" i="2"/>
  <c r="FJ21" i="2"/>
  <c r="FJ19" i="2"/>
  <c r="FJ18" i="2"/>
  <c r="FJ17" i="2"/>
  <c r="FJ16" i="2"/>
  <c r="FJ15" i="2"/>
  <c r="FJ14" i="2"/>
  <c r="FJ13" i="2"/>
  <c r="FJ12" i="2"/>
  <c r="FN34" i="2"/>
  <c r="FM34" i="2"/>
  <c r="FN30" i="2"/>
  <c r="FM30" i="2"/>
  <c r="FF12" i="2"/>
  <c r="FG12" i="2"/>
  <c r="AR10" i="18" s="1"/>
  <c r="FF13" i="2"/>
  <c r="FG13" i="2"/>
  <c r="AR11" i="18" s="1"/>
  <c r="AS11" i="18" s="1"/>
  <c r="FF14" i="2"/>
  <c r="FG14" i="2"/>
  <c r="AR12" i="18" s="1"/>
  <c r="AS12" i="18" s="1"/>
  <c r="FF15" i="2"/>
  <c r="FG15" i="2"/>
  <c r="AR13" i="18" s="1"/>
  <c r="AS13" i="18" s="1"/>
  <c r="FF16" i="2"/>
  <c r="FG16" i="2"/>
  <c r="AR14" i="18" s="1"/>
  <c r="AS14" i="18" s="1"/>
  <c r="FF17" i="2"/>
  <c r="FG17" i="2"/>
  <c r="AR15" i="18" s="1"/>
  <c r="AS15" i="18" s="1"/>
  <c r="FF18" i="2"/>
  <c r="FG18" i="2"/>
  <c r="AR16" i="18" s="1"/>
  <c r="AS16" i="18" s="1"/>
  <c r="FF19" i="2"/>
  <c r="FG19" i="2"/>
  <c r="AR17" i="18" s="1"/>
  <c r="AS17" i="18" s="1"/>
  <c r="FF20" i="2"/>
  <c r="FK20" i="2" s="1"/>
  <c r="FG20" i="2"/>
  <c r="FF21" i="2"/>
  <c r="FG21" i="2"/>
  <c r="AR19" i="18" s="1"/>
  <c r="AS19" i="18" s="1"/>
  <c r="FF22" i="2"/>
  <c r="FG22" i="2"/>
  <c r="AR20" i="18" s="1"/>
  <c r="AS20" i="18" s="1"/>
  <c r="FF23" i="2"/>
  <c r="FG23" i="2"/>
  <c r="AR21" i="18" s="1"/>
  <c r="AS21" i="18" s="1"/>
  <c r="FF24" i="2"/>
  <c r="FG24" i="2"/>
  <c r="AR22" i="18" s="1"/>
  <c r="AS22" i="18" s="1"/>
  <c r="FF25" i="2"/>
  <c r="FG25" i="2"/>
  <c r="AR23" i="18" s="1"/>
  <c r="AS23" i="18" s="1"/>
  <c r="FF26" i="2"/>
  <c r="FG26" i="2"/>
  <c r="AR24" i="18" s="1"/>
  <c r="AS24" i="18" s="1"/>
  <c r="FF27" i="2"/>
  <c r="FG27" i="2"/>
  <c r="AR25" i="18" s="1"/>
  <c r="AS25" i="18" s="1"/>
  <c r="FF28" i="2"/>
  <c r="FG28" i="2"/>
  <c r="AR26" i="18" s="1"/>
  <c r="AS26" i="18" s="1"/>
  <c r="FF29" i="2"/>
  <c r="FG29" i="2"/>
  <c r="AR27" i="18" s="1"/>
  <c r="AS27" i="18" s="1"/>
  <c r="FK30" i="2"/>
  <c r="FF32" i="2"/>
  <c r="FG32" i="2"/>
  <c r="AR30" i="18" s="1"/>
  <c r="FF33" i="2"/>
  <c r="FG33" i="2"/>
  <c r="AR31" i="18" s="1"/>
  <c r="AS31" i="18" s="1"/>
  <c r="FK34" i="2"/>
  <c r="FL34" i="2"/>
  <c r="AR18" i="18" l="1"/>
  <c r="AS18" i="18" s="1"/>
  <c r="FL20" i="2"/>
  <c r="FJ20" i="2" s="1"/>
  <c r="FJ30" i="2" s="1"/>
  <c r="O29" i="6"/>
  <c r="O33" i="6"/>
  <c r="AS30" i="18"/>
  <c r="AS32" i="18" s="1"/>
  <c r="AR32" i="18"/>
  <c r="R32" i="6"/>
  <c r="AZ31" i="18"/>
  <c r="BA31" i="18" s="1"/>
  <c r="BA32" i="18" s="1"/>
  <c r="BA35" i="18" s="1"/>
  <c r="AS10" i="18"/>
  <c r="AS28" i="18" s="1"/>
  <c r="AR28" i="18"/>
  <c r="AR35" i="18" s="1"/>
  <c r="R26" i="6"/>
  <c r="AZ25" i="18"/>
  <c r="R22" i="6"/>
  <c r="AZ21" i="18"/>
  <c r="R18" i="6"/>
  <c r="AZ17" i="18"/>
  <c r="R14" i="6"/>
  <c r="AZ13" i="18"/>
  <c r="R11" i="6"/>
  <c r="AZ10" i="18"/>
  <c r="R27" i="6"/>
  <c r="AZ26" i="18"/>
  <c r="R25" i="6"/>
  <c r="AZ24" i="18"/>
  <c r="R23" i="6"/>
  <c r="AZ22" i="18"/>
  <c r="R21" i="6"/>
  <c r="AZ20" i="18"/>
  <c r="R19" i="6"/>
  <c r="AZ18" i="18"/>
  <c r="R17" i="6"/>
  <c r="AZ16" i="18"/>
  <c r="R15" i="6"/>
  <c r="AZ14" i="18"/>
  <c r="R13" i="6"/>
  <c r="AZ12" i="18"/>
  <c r="FE33" i="2"/>
  <c r="FJ34" i="2"/>
  <c r="FM37" i="2"/>
  <c r="FK37" i="2"/>
  <c r="FK42" i="2" s="1"/>
  <c r="FN37" i="2"/>
  <c r="FE28" i="2"/>
  <c r="FE24" i="2"/>
  <c r="FE20" i="2"/>
  <c r="FE16" i="2"/>
  <c r="FE12" i="2"/>
  <c r="FH34" i="2"/>
  <c r="FH30" i="2"/>
  <c r="FE27" i="2"/>
  <c r="FE23" i="2"/>
  <c r="FE19" i="2"/>
  <c r="FE15" i="2"/>
  <c r="FI30" i="2"/>
  <c r="FE21" i="2"/>
  <c r="R20" i="6"/>
  <c r="FE17" i="2"/>
  <c r="R16" i="6"/>
  <c r="FE13" i="2"/>
  <c r="R12" i="6"/>
  <c r="FI34" i="2"/>
  <c r="R31" i="6"/>
  <c r="FE26" i="2"/>
  <c r="FE22" i="2"/>
  <c r="FE18" i="2"/>
  <c r="FE14" i="2"/>
  <c r="FE29" i="2"/>
  <c r="R28" i="6"/>
  <c r="FE25" i="2"/>
  <c r="R24" i="6"/>
  <c r="FE32" i="2"/>
  <c r="FG30" i="2"/>
  <c r="FF34" i="2"/>
  <c r="FF30" i="2"/>
  <c r="FG34" i="2"/>
  <c r="AV18" i="18" l="1"/>
  <c r="FL30" i="2"/>
  <c r="FL37" i="2" s="1"/>
  <c r="FL42" i="2" s="1"/>
  <c r="O36" i="6"/>
  <c r="AZ32" i="18"/>
  <c r="AS35" i="18"/>
  <c r="AR36" i="18" s="1"/>
  <c r="AZ28" i="18"/>
  <c r="F426" i="8"/>
  <c r="F427" i="8" s="1"/>
  <c r="FM42" i="2"/>
  <c r="F429" i="8"/>
  <c r="F430" i="8" s="1"/>
  <c r="FN42" i="2"/>
  <c r="EK34" i="2"/>
  <c r="FJ37" i="2"/>
  <c r="C11" i="7"/>
  <c r="FH37" i="2"/>
  <c r="E426" i="8" s="1"/>
  <c r="E427" i="8" s="1"/>
  <c r="FI37" i="2"/>
  <c r="E429" i="8" s="1"/>
  <c r="E430" i="8" s="1"/>
  <c r="FG37" i="2"/>
  <c r="FE30" i="2"/>
  <c r="FE34" i="2"/>
  <c r="FF37" i="2"/>
  <c r="AW18" i="18" l="1"/>
  <c r="AW28" i="18" s="1"/>
  <c r="AW35" i="18" s="1"/>
  <c r="AV28" i="18"/>
  <c r="AV35" i="18" s="1"/>
  <c r="AZ35" i="18"/>
  <c r="AZ36" i="18" s="1"/>
  <c r="B11" i="7"/>
  <c r="FE37" i="2"/>
  <c r="JZ12" i="2"/>
  <c r="KA12" i="2"/>
  <c r="DL10" i="18" s="1"/>
  <c r="KJ12" i="2"/>
  <c r="KP12" i="2" s="1"/>
  <c r="KO12" i="2" s="1"/>
  <c r="KM12" i="2"/>
  <c r="KN12" i="2"/>
  <c r="EJ10" i="18" s="1"/>
  <c r="KK12" i="2"/>
  <c r="KV12" i="2"/>
  <c r="KZ12" i="2" s="1"/>
  <c r="KW12" i="2"/>
  <c r="KX12" i="2"/>
  <c r="ER10" i="18" s="1"/>
  <c r="KY12" i="2"/>
  <c r="JZ13" i="2"/>
  <c r="KA13" i="2"/>
  <c r="DL11" i="18" s="1"/>
  <c r="DM11" i="18" s="1"/>
  <c r="KJ13" i="2"/>
  <c r="KP13" i="2" s="1"/>
  <c r="KO13" i="2" s="1"/>
  <c r="KM13" i="2"/>
  <c r="KN13" i="2"/>
  <c r="EJ11" i="18" s="1"/>
  <c r="KK13" i="2"/>
  <c r="KV13" i="2"/>
  <c r="KZ13" i="2" s="1"/>
  <c r="KY13" i="2" s="1"/>
  <c r="KW13" i="2"/>
  <c r="KX13" i="2"/>
  <c r="ER11" i="18" s="1"/>
  <c r="JZ14" i="2"/>
  <c r="KA14" i="2"/>
  <c r="DL12" i="18" s="1"/>
  <c r="DM12" i="18" s="1"/>
  <c r="KJ14" i="2"/>
  <c r="KP14" i="2" s="1"/>
  <c r="KO14" i="2" s="1"/>
  <c r="KM14" i="2"/>
  <c r="KN14" i="2"/>
  <c r="EJ12" i="18" s="1"/>
  <c r="KK14" i="2"/>
  <c r="KV14" i="2"/>
  <c r="KZ14" i="2" s="1"/>
  <c r="KW14" i="2"/>
  <c r="KX14" i="2"/>
  <c r="ER12" i="18" s="1"/>
  <c r="KY14" i="2"/>
  <c r="LF14" i="2" s="1"/>
  <c r="LD14" i="2" s="1"/>
  <c r="JZ15" i="2"/>
  <c r="KA15" i="2"/>
  <c r="DL13" i="18" s="1"/>
  <c r="DM13" i="18" s="1"/>
  <c r="KJ15" i="2"/>
  <c r="KP15" i="2" s="1"/>
  <c r="KO15" i="2" s="1"/>
  <c r="KM15" i="2"/>
  <c r="KN15" i="2"/>
  <c r="EJ13" i="18" s="1"/>
  <c r="KK15" i="2"/>
  <c r="KV15" i="2"/>
  <c r="KZ15" i="2" s="1"/>
  <c r="KY15" i="2" s="1"/>
  <c r="LF15" i="2" s="1"/>
  <c r="LD15" i="2" s="1"/>
  <c r="KW15" i="2"/>
  <c r="KX15" i="2"/>
  <c r="ER13" i="18" s="1"/>
  <c r="JZ16" i="2"/>
  <c r="KA16" i="2"/>
  <c r="DL14" i="18" s="1"/>
  <c r="DM14" i="18" s="1"/>
  <c r="KJ16" i="2"/>
  <c r="KP16" i="2" s="1"/>
  <c r="KO16" i="2" s="1"/>
  <c r="KM16" i="2"/>
  <c r="KN16" i="2"/>
  <c r="EJ14" i="18" s="1"/>
  <c r="KK16" i="2"/>
  <c r="KV16" i="2"/>
  <c r="KZ16" i="2" s="1"/>
  <c r="KY16" i="2" s="1"/>
  <c r="KW16" i="2"/>
  <c r="KX16" i="2"/>
  <c r="ER14" i="18" s="1"/>
  <c r="JZ17" i="2"/>
  <c r="KA17" i="2"/>
  <c r="DL15" i="18" s="1"/>
  <c r="DM15" i="18" s="1"/>
  <c r="KJ17" i="2"/>
  <c r="KP17" i="2" s="1"/>
  <c r="KO17" i="2" s="1"/>
  <c r="KM17" i="2"/>
  <c r="KN17" i="2"/>
  <c r="EJ15" i="18" s="1"/>
  <c r="KK17" i="2"/>
  <c r="KV17" i="2"/>
  <c r="KZ17" i="2" s="1"/>
  <c r="KY17" i="2" s="1"/>
  <c r="LF17" i="2" s="1"/>
  <c r="KW17" i="2"/>
  <c r="KX17" i="2"/>
  <c r="ER15" i="18" s="1"/>
  <c r="JZ18" i="2"/>
  <c r="KA18" i="2"/>
  <c r="DL16" i="18" s="1"/>
  <c r="DM16" i="18" s="1"/>
  <c r="KJ18" i="2"/>
  <c r="KP18" i="2" s="1"/>
  <c r="KO18" i="2" s="1"/>
  <c r="KM18" i="2"/>
  <c r="KN18" i="2"/>
  <c r="EJ16" i="18" s="1"/>
  <c r="KK18" i="2"/>
  <c r="KV18" i="2"/>
  <c r="KZ18" i="2" s="1"/>
  <c r="KY18" i="2" s="1"/>
  <c r="LF18" i="2" s="1"/>
  <c r="LD18" i="2" s="1"/>
  <c r="KW18" i="2"/>
  <c r="KX18" i="2"/>
  <c r="ER16" i="18" s="1"/>
  <c r="JZ19" i="2"/>
  <c r="KA19" i="2"/>
  <c r="DL17" i="18" s="1"/>
  <c r="DM17" i="18" s="1"/>
  <c r="KJ19" i="2"/>
  <c r="KP19" i="2" s="1"/>
  <c r="KO19" i="2" s="1"/>
  <c r="KM19" i="2"/>
  <c r="KN19" i="2"/>
  <c r="EJ17" i="18" s="1"/>
  <c r="KK19" i="2"/>
  <c r="KV19" i="2"/>
  <c r="KZ19" i="2" s="1"/>
  <c r="KY19" i="2" s="1"/>
  <c r="KW19" i="2"/>
  <c r="KX19" i="2"/>
  <c r="ER17" i="18" s="1"/>
  <c r="JZ20" i="2"/>
  <c r="KA20" i="2"/>
  <c r="DL18" i="18" s="1"/>
  <c r="DM18" i="18" s="1"/>
  <c r="KJ20" i="2"/>
  <c r="KP20" i="2" s="1"/>
  <c r="KO20" i="2" s="1"/>
  <c r="KM20" i="2"/>
  <c r="KN20" i="2"/>
  <c r="EJ18" i="18" s="1"/>
  <c r="KK20" i="2"/>
  <c r="KV20" i="2"/>
  <c r="KZ20" i="2" s="1"/>
  <c r="KY20" i="2" s="1"/>
  <c r="LF20" i="2" s="1"/>
  <c r="KW20" i="2"/>
  <c r="KX20" i="2"/>
  <c r="ER18" i="18" s="1"/>
  <c r="JZ21" i="2"/>
  <c r="KA21" i="2"/>
  <c r="DL19" i="18" s="1"/>
  <c r="DM19" i="18" s="1"/>
  <c r="KJ21" i="2"/>
  <c r="KP21" i="2" s="1"/>
  <c r="KO21" i="2" s="1"/>
  <c r="KM21" i="2"/>
  <c r="KN21" i="2"/>
  <c r="EJ19" i="18" s="1"/>
  <c r="KK21" i="2"/>
  <c r="KV21" i="2"/>
  <c r="KZ21" i="2" s="1"/>
  <c r="KY21" i="2" s="1"/>
  <c r="KW21" i="2"/>
  <c r="KX21" i="2"/>
  <c r="ER19" i="18" s="1"/>
  <c r="JZ22" i="2"/>
  <c r="KA22" i="2"/>
  <c r="DL20" i="18" s="1"/>
  <c r="DM20" i="18" s="1"/>
  <c r="KJ22" i="2"/>
  <c r="KP22" i="2" s="1"/>
  <c r="KO22" i="2" s="1"/>
  <c r="KM22" i="2"/>
  <c r="KN22" i="2"/>
  <c r="EJ20" i="18" s="1"/>
  <c r="KK22" i="2"/>
  <c r="KV22" i="2"/>
  <c r="KZ22" i="2" s="1"/>
  <c r="KY22" i="2" s="1"/>
  <c r="LF22" i="2" s="1"/>
  <c r="KW22" i="2"/>
  <c r="KX22" i="2"/>
  <c r="ER20" i="18" s="1"/>
  <c r="JZ23" i="2"/>
  <c r="KA23" i="2"/>
  <c r="DL21" i="18" s="1"/>
  <c r="DM21" i="18" s="1"/>
  <c r="KJ23" i="2"/>
  <c r="KP23" i="2" s="1"/>
  <c r="KO23" i="2" s="1"/>
  <c r="KM23" i="2"/>
  <c r="KN23" i="2"/>
  <c r="EJ21" i="18" s="1"/>
  <c r="KK23" i="2"/>
  <c r="KV23" i="2"/>
  <c r="KZ23" i="2" s="1"/>
  <c r="KY23" i="2" s="1"/>
  <c r="LF23" i="2" s="1"/>
  <c r="LD23" i="2" s="1"/>
  <c r="KW23" i="2"/>
  <c r="KX23" i="2"/>
  <c r="ER21" i="18" s="1"/>
  <c r="JZ24" i="2"/>
  <c r="KA24" i="2"/>
  <c r="DL22" i="18" s="1"/>
  <c r="DM22" i="18" s="1"/>
  <c r="KJ24" i="2"/>
  <c r="KP24" i="2" s="1"/>
  <c r="KO24" i="2" s="1"/>
  <c r="KM24" i="2"/>
  <c r="KN24" i="2"/>
  <c r="EJ22" i="18" s="1"/>
  <c r="KK24" i="2"/>
  <c r="KV24" i="2"/>
  <c r="KZ24" i="2" s="1"/>
  <c r="KY24" i="2" s="1"/>
  <c r="KW24" i="2"/>
  <c r="KX24" i="2"/>
  <c r="ER22" i="18" s="1"/>
  <c r="JZ25" i="2"/>
  <c r="KA25" i="2"/>
  <c r="DL23" i="18" s="1"/>
  <c r="DM23" i="18" s="1"/>
  <c r="KJ25" i="2"/>
  <c r="KP25" i="2" s="1"/>
  <c r="KO25" i="2" s="1"/>
  <c r="KM25" i="2"/>
  <c r="KN25" i="2"/>
  <c r="EJ23" i="18" s="1"/>
  <c r="KK25" i="2"/>
  <c r="KV25" i="2"/>
  <c r="KZ25" i="2" s="1"/>
  <c r="KY25" i="2" s="1"/>
  <c r="LF25" i="2" s="1"/>
  <c r="KW25" i="2"/>
  <c r="KX25" i="2"/>
  <c r="ER23" i="18" s="1"/>
  <c r="JZ26" i="2"/>
  <c r="KA26" i="2"/>
  <c r="DL24" i="18" s="1"/>
  <c r="DM24" i="18" s="1"/>
  <c r="KJ26" i="2"/>
  <c r="KP26" i="2" s="1"/>
  <c r="KO26" i="2" s="1"/>
  <c r="KM26" i="2"/>
  <c r="KN26" i="2"/>
  <c r="EJ24" i="18" s="1"/>
  <c r="KK26" i="2"/>
  <c r="KV26" i="2"/>
  <c r="KZ26" i="2" s="1"/>
  <c r="KY26" i="2" s="1"/>
  <c r="LF26" i="2" s="1"/>
  <c r="LD26" i="2" s="1"/>
  <c r="KW26" i="2"/>
  <c r="KX26" i="2"/>
  <c r="ER24" i="18" s="1"/>
  <c r="JZ27" i="2"/>
  <c r="KA27" i="2"/>
  <c r="DL25" i="18" s="1"/>
  <c r="DM25" i="18" s="1"/>
  <c r="KJ27" i="2"/>
  <c r="KP27" i="2" s="1"/>
  <c r="KO27" i="2" s="1"/>
  <c r="KM27" i="2"/>
  <c r="KN27" i="2"/>
  <c r="EJ25" i="18" s="1"/>
  <c r="KK27" i="2"/>
  <c r="KV27" i="2"/>
  <c r="KZ27" i="2" s="1"/>
  <c r="KY27" i="2" s="1"/>
  <c r="LF27" i="2" s="1"/>
  <c r="LD27" i="2" s="1"/>
  <c r="KW27" i="2"/>
  <c r="KX27" i="2"/>
  <c r="ER25" i="18" s="1"/>
  <c r="JZ28" i="2"/>
  <c r="KA28" i="2"/>
  <c r="DL26" i="18" s="1"/>
  <c r="DM26" i="18" s="1"/>
  <c r="KJ28" i="2"/>
  <c r="KP28" i="2" s="1"/>
  <c r="KO28" i="2" s="1"/>
  <c r="KM28" i="2"/>
  <c r="KN28" i="2"/>
  <c r="EJ26" i="18" s="1"/>
  <c r="KK28" i="2"/>
  <c r="KV28" i="2"/>
  <c r="KZ28" i="2" s="1"/>
  <c r="KY28" i="2" s="1"/>
  <c r="KW28" i="2"/>
  <c r="KX28" i="2"/>
  <c r="ER26" i="18" s="1"/>
  <c r="KJ29" i="2"/>
  <c r="KP29" i="2" s="1"/>
  <c r="KO29" i="2" s="1"/>
  <c r="KM29" i="2"/>
  <c r="KN29" i="2"/>
  <c r="EJ27" i="18" s="1"/>
  <c r="KK29" i="2"/>
  <c r="KV29" i="2"/>
  <c r="KZ29" i="2" s="1"/>
  <c r="KY29" i="2" s="1"/>
  <c r="LF29" i="2" s="1"/>
  <c r="LD29" i="2" s="1"/>
  <c r="KW29" i="2"/>
  <c r="KX29" i="2"/>
  <c r="ER27" i="18" s="1"/>
  <c r="KE30" i="2"/>
  <c r="KF30" i="2"/>
  <c r="KS30" i="2"/>
  <c r="KT30" i="2"/>
  <c r="KQ30" i="2"/>
  <c r="KZ30" i="2"/>
  <c r="LA30" i="2"/>
  <c r="LB30" i="2"/>
  <c r="JZ32" i="2"/>
  <c r="KA32" i="2"/>
  <c r="DL30" i="18" s="1"/>
  <c r="KJ32" i="2"/>
  <c r="KP32" i="2" s="1"/>
  <c r="KO32" i="2" s="1"/>
  <c r="KM32" i="2"/>
  <c r="KN32" i="2"/>
  <c r="EJ30" i="18" s="1"/>
  <c r="KK32" i="2"/>
  <c r="KV32" i="2"/>
  <c r="KW32" i="2"/>
  <c r="KX32" i="2"/>
  <c r="ER30" i="18" s="1"/>
  <c r="JZ33" i="2"/>
  <c r="KA33" i="2"/>
  <c r="DL31" i="18" s="1"/>
  <c r="DM31" i="18" s="1"/>
  <c r="KJ33" i="2"/>
  <c r="KP33" i="2" s="1"/>
  <c r="KO33" i="2" s="1"/>
  <c r="KM33" i="2"/>
  <c r="KN33" i="2"/>
  <c r="EJ31" i="18" s="1"/>
  <c r="EK31" i="18" s="1"/>
  <c r="EK32" i="18" s="1"/>
  <c r="EK35" i="18" s="1"/>
  <c r="KK33" i="2"/>
  <c r="KV33" i="2"/>
  <c r="KW33" i="2"/>
  <c r="KX33" i="2"/>
  <c r="ER31" i="18" s="1"/>
  <c r="KE34" i="2"/>
  <c r="KF34" i="2"/>
  <c r="KS34" i="2"/>
  <c r="KT34" i="2"/>
  <c r="KQ34" i="2"/>
  <c r="KU34" i="2"/>
  <c r="KY34" i="2"/>
  <c r="KZ34" i="2"/>
  <c r="LA34" i="2"/>
  <c r="LB34" i="2"/>
  <c r="LC34" i="2"/>
  <c r="LD34" i="2"/>
  <c r="LE34" i="2"/>
  <c r="LF34" i="2"/>
  <c r="JY61" i="2"/>
  <c r="JZ61" i="2"/>
  <c r="KA61" i="2"/>
  <c r="KD61" i="2"/>
  <c r="KP30" i="2" l="1"/>
  <c r="KP34" i="2"/>
  <c r="AV36" i="18"/>
  <c r="ER32" i="18"/>
  <c r="EJ32" i="18"/>
  <c r="DM30" i="18"/>
  <c r="DM32" i="18" s="1"/>
  <c r="DL32" i="18"/>
  <c r="ER28" i="18"/>
  <c r="ER35" i="18" s="1"/>
  <c r="ER36" i="18" s="1"/>
  <c r="EJ28" i="18"/>
  <c r="DM10" i="18"/>
  <c r="DM28" i="18" s="1"/>
  <c r="DL28" i="18"/>
  <c r="DL35" i="18" s="1"/>
  <c r="JY33" i="2"/>
  <c r="KI29" i="2"/>
  <c r="KI28" i="2"/>
  <c r="KI26" i="2"/>
  <c r="KI24" i="2"/>
  <c r="KI22" i="2"/>
  <c r="KI20" i="2"/>
  <c r="KI33" i="2"/>
  <c r="KI18" i="2"/>
  <c r="KI16" i="2"/>
  <c r="KI14" i="2"/>
  <c r="KI12" i="2"/>
  <c r="KI27" i="2"/>
  <c r="KI25" i="2"/>
  <c r="KI23" i="2"/>
  <c r="KI21" i="2"/>
  <c r="KI19" i="2"/>
  <c r="KI17" i="2"/>
  <c r="KI15" i="2"/>
  <c r="KI13" i="2"/>
  <c r="KI32" i="2"/>
  <c r="JY26" i="2"/>
  <c r="JY22" i="2"/>
  <c r="JY28" i="2"/>
  <c r="JY24" i="2"/>
  <c r="JY32" i="2"/>
  <c r="JY27" i="2"/>
  <c r="JY23" i="2"/>
  <c r="JY21" i="2"/>
  <c r="JY19" i="2"/>
  <c r="JY17" i="2"/>
  <c r="JY15" i="2"/>
  <c r="JY13" i="2"/>
  <c r="JY25" i="2"/>
  <c r="JY20" i="2"/>
  <c r="JY18" i="2"/>
  <c r="JY16" i="2"/>
  <c r="JY14" i="2"/>
  <c r="JY12" i="2"/>
  <c r="KT37" i="2"/>
  <c r="KT42" i="2" s="1"/>
  <c r="KE37" i="2"/>
  <c r="KE42" i="2" s="1"/>
  <c r="KQ37" i="2"/>
  <c r="KQ42" i="2" s="1"/>
  <c r="KF37" i="2"/>
  <c r="KF42" i="2" s="1"/>
  <c r="KZ37" i="2"/>
  <c r="KZ42" i="2" s="1"/>
  <c r="LB37" i="2"/>
  <c r="KP37" i="2"/>
  <c r="KP42" i="2" s="1"/>
  <c r="LA37" i="2"/>
  <c r="KD55" i="2"/>
  <c r="KM34" i="2"/>
  <c r="KS37" i="2"/>
  <c r="KS42" i="2" s="1"/>
  <c r="KK30" i="2"/>
  <c r="KD54" i="2"/>
  <c r="KJ34" i="2"/>
  <c r="KW34" i="2"/>
  <c r="KU12" i="2"/>
  <c r="LE12" i="2" s="1"/>
  <c r="LC12" i="2" s="1"/>
  <c r="KU19" i="2"/>
  <c r="KU21" i="2"/>
  <c r="LE21" i="2" s="1"/>
  <c r="LC21" i="2" s="1"/>
  <c r="KU25" i="2"/>
  <c r="KU18" i="2"/>
  <c r="LE18" i="2" s="1"/>
  <c r="LC18" i="2" s="1"/>
  <c r="LF19" i="2"/>
  <c r="LD19" i="2" s="1"/>
  <c r="KU17" i="2"/>
  <c r="LD25" i="2"/>
  <c r="LD20" i="2"/>
  <c r="KU14" i="2"/>
  <c r="KU13" i="2"/>
  <c r="LE13" i="2" s="1"/>
  <c r="LC13" i="2" s="1"/>
  <c r="KN34" i="2"/>
  <c r="LF24" i="2"/>
  <c r="LD24" i="2" s="1"/>
  <c r="LD17" i="2"/>
  <c r="KN30" i="2"/>
  <c r="KA30" i="2"/>
  <c r="KV30" i="2"/>
  <c r="LD22" i="2"/>
  <c r="LF21" i="2"/>
  <c r="LD21" i="2" s="1"/>
  <c r="LF16" i="2"/>
  <c r="LD16" i="2" s="1"/>
  <c r="LF28" i="2"/>
  <c r="LD28" i="2" s="1"/>
  <c r="LF13" i="2"/>
  <c r="LD13" i="2" s="1"/>
  <c r="LF12" i="2"/>
  <c r="KU29" i="2"/>
  <c r="KU27" i="2"/>
  <c r="LE27" i="2" s="1"/>
  <c r="LC27" i="2" s="1"/>
  <c r="KW30" i="2"/>
  <c r="JZ30" i="2"/>
  <c r="KU22" i="2"/>
  <c r="KU20" i="2"/>
  <c r="LE20" i="2" s="1"/>
  <c r="LC20" i="2" s="1"/>
  <c r="KV34" i="2"/>
  <c r="JZ34" i="2"/>
  <c r="KX30" i="2"/>
  <c r="KU26" i="2"/>
  <c r="LE26" i="2" s="1"/>
  <c r="LC26" i="2" s="1"/>
  <c r="KU24" i="2"/>
  <c r="KU15" i="2"/>
  <c r="KJ30" i="2"/>
  <c r="KX34" i="2"/>
  <c r="KU23" i="2"/>
  <c r="KU16" i="2"/>
  <c r="LE16" i="2" s="1"/>
  <c r="LC16" i="2" s="1"/>
  <c r="KA34" i="2"/>
  <c r="KK34" i="2"/>
  <c r="KY30" i="2"/>
  <c r="KY37" i="2" s="1"/>
  <c r="KM30" i="2"/>
  <c r="KU28" i="2"/>
  <c r="DM35" i="18" l="1"/>
  <c r="DL36" i="18" s="1"/>
  <c r="EJ35" i="18"/>
  <c r="EJ36" i="18" s="1"/>
  <c r="F128" i="8"/>
  <c r="LE14" i="2"/>
  <c r="LC14" i="2" s="1"/>
  <c r="JY34" i="2"/>
  <c r="JY55" i="2" s="1"/>
  <c r="JY30" i="2"/>
  <c r="KD53" i="2"/>
  <c r="KD57" i="2" s="1"/>
  <c r="KK37" i="2"/>
  <c r="E128" i="8" s="1"/>
  <c r="LE17" i="2"/>
  <c r="LC17" i="2" s="1"/>
  <c r="KJ37" i="2"/>
  <c r="KW37" i="2"/>
  <c r="KM37" i="2"/>
  <c r="LE19" i="2"/>
  <c r="LC19" i="2" s="1"/>
  <c r="KO34" i="2"/>
  <c r="KV37" i="2"/>
  <c r="LE25" i="2"/>
  <c r="LC25" i="2" s="1"/>
  <c r="JZ37" i="2"/>
  <c r="LE15" i="2"/>
  <c r="LC15" i="2" s="1"/>
  <c r="LE24" i="2"/>
  <c r="LC24" i="2" s="1"/>
  <c r="KA37" i="2"/>
  <c r="KN37" i="2"/>
  <c r="LE22" i="2"/>
  <c r="LC22" i="2" s="1"/>
  <c r="LE23" i="2"/>
  <c r="LC23" i="2" s="1"/>
  <c r="LE29" i="2"/>
  <c r="LC29" i="2" s="1"/>
  <c r="LF30" i="2"/>
  <c r="LF37" i="2" s="1"/>
  <c r="LD12" i="2"/>
  <c r="LD30" i="2" s="1"/>
  <c r="LD37" i="2" s="1"/>
  <c r="KX37" i="2"/>
  <c r="KU30" i="2"/>
  <c r="KU37" i="2" s="1"/>
  <c r="LE28" i="2"/>
  <c r="LC28" i="2" s="1"/>
  <c r="JY37" i="2" l="1"/>
  <c r="JY53" i="2" s="1"/>
  <c r="KI34" i="2"/>
  <c r="JY54" i="2"/>
  <c r="LC30" i="2"/>
  <c r="LC37" i="2" s="1"/>
  <c r="LE30" i="2"/>
  <c r="LE37" i="2" s="1"/>
  <c r="KO30" i="2"/>
  <c r="KO37" i="2" s="1"/>
  <c r="KI30" i="2" l="1"/>
  <c r="KI37" i="2" s="1"/>
  <c r="JY57" i="2"/>
  <c r="Q32" i="6"/>
  <c r="Q31" i="6"/>
  <c r="Q12" i="6"/>
  <c r="Q13" i="6"/>
  <c r="Q14" i="6"/>
  <c r="Q15" i="6"/>
  <c r="Q16" i="6"/>
  <c r="Q17" i="6"/>
  <c r="Q18" i="6"/>
  <c r="Q19" i="6"/>
  <c r="Q20" i="6"/>
  <c r="Q21" i="6"/>
  <c r="Q22" i="6"/>
  <c r="Q23" i="6"/>
  <c r="Q24" i="6"/>
  <c r="Q25" i="6"/>
  <c r="Q26" i="6"/>
  <c r="Q27" i="6"/>
  <c r="Q28" i="6"/>
  <c r="Q11" i="6"/>
  <c r="P32" i="6"/>
  <c r="P31" i="6"/>
  <c r="P12" i="6"/>
  <c r="P13" i="6"/>
  <c r="P14" i="6"/>
  <c r="P15" i="6"/>
  <c r="P16" i="6"/>
  <c r="P17" i="6"/>
  <c r="P18" i="6"/>
  <c r="P19" i="6"/>
  <c r="P20" i="6"/>
  <c r="P21" i="6"/>
  <c r="P22" i="6"/>
  <c r="P23" i="6"/>
  <c r="P24" i="6"/>
  <c r="P25" i="6"/>
  <c r="P26" i="6"/>
  <c r="P27" i="6"/>
  <c r="P28" i="6"/>
  <c r="P11" i="6"/>
  <c r="F420" i="8" l="1"/>
  <c r="F421" i="8" s="1"/>
  <c r="E420" i="8"/>
  <c r="E421" i="8" s="1"/>
  <c r="C10" i="7" l="1"/>
  <c r="F423" i="8"/>
  <c r="F424" i="8" s="1"/>
  <c r="E423" i="8"/>
  <c r="E424" i="8" s="1"/>
  <c r="B10" i="7"/>
  <c r="H424" i="8" l="1"/>
  <c r="H421" i="8"/>
  <c r="J420" i="8"/>
  <c r="U32" i="6"/>
  <c r="U31" i="6"/>
  <c r="U12" i="6"/>
  <c r="U13" i="6"/>
  <c r="U14" i="6"/>
  <c r="U15" i="6"/>
  <c r="U16" i="6"/>
  <c r="U17" i="6"/>
  <c r="U18" i="6"/>
  <c r="U19" i="6"/>
  <c r="U20" i="6"/>
  <c r="U21" i="6"/>
  <c r="U22" i="6"/>
  <c r="U23" i="6"/>
  <c r="U24" i="6"/>
  <c r="U25" i="6"/>
  <c r="U26" i="6"/>
  <c r="U27" i="6"/>
  <c r="U28" i="6"/>
  <c r="U11" i="6"/>
  <c r="U33" i="6" l="1"/>
  <c r="H420" i="8"/>
  <c r="G423" i="8"/>
  <c r="H423" i="8"/>
  <c r="I425" i="8"/>
  <c r="H422" i="8"/>
  <c r="H425" i="8"/>
  <c r="G420" i="8"/>
  <c r="G421" i="8" s="1"/>
  <c r="I421" i="8" s="1"/>
  <c r="U29" i="6"/>
  <c r="FQ33" i="2"/>
  <c r="FP33" i="2"/>
  <c r="FQ32" i="2"/>
  <c r="FP32" i="2"/>
  <c r="FP13" i="2"/>
  <c r="FQ13" i="2"/>
  <c r="FP14" i="2"/>
  <c r="FQ14" i="2"/>
  <c r="FP15" i="2"/>
  <c r="FQ15" i="2"/>
  <c r="FP16" i="2"/>
  <c r="FQ16" i="2"/>
  <c r="FP17" i="2"/>
  <c r="FQ17" i="2"/>
  <c r="FP18" i="2"/>
  <c r="FQ18" i="2"/>
  <c r="FP19" i="2"/>
  <c r="FQ19" i="2"/>
  <c r="FP20" i="2"/>
  <c r="FQ20" i="2"/>
  <c r="FP21" i="2"/>
  <c r="FQ21" i="2"/>
  <c r="FP22" i="2"/>
  <c r="FQ22" i="2"/>
  <c r="FP23" i="2"/>
  <c r="FQ23" i="2"/>
  <c r="FP24" i="2"/>
  <c r="FQ24" i="2"/>
  <c r="FP25" i="2"/>
  <c r="FQ25" i="2"/>
  <c r="FP26" i="2"/>
  <c r="FQ26" i="2"/>
  <c r="FP27" i="2"/>
  <c r="FQ27" i="2"/>
  <c r="FP28" i="2"/>
  <c r="FQ28" i="2"/>
  <c r="FP29" i="2"/>
  <c r="FQ29" i="2"/>
  <c r="FQ12" i="2"/>
  <c r="FP12" i="2"/>
  <c r="T27" i="6" l="1"/>
  <c r="BH26" i="18"/>
  <c r="BI26" i="18" s="1"/>
  <c r="T25" i="6"/>
  <c r="BH24" i="18"/>
  <c r="BI24" i="18" s="1"/>
  <c r="T23" i="6"/>
  <c r="BH22" i="18"/>
  <c r="BI22" i="18" s="1"/>
  <c r="T21" i="6"/>
  <c r="BH20" i="18"/>
  <c r="BI20" i="18" s="1"/>
  <c r="T19" i="6"/>
  <c r="BH18" i="18"/>
  <c r="BI18" i="18" s="1"/>
  <c r="T17" i="6"/>
  <c r="BH16" i="18"/>
  <c r="BI16" i="18" s="1"/>
  <c r="T15" i="6"/>
  <c r="BH14" i="18"/>
  <c r="BI14" i="18" s="1"/>
  <c r="T13" i="6"/>
  <c r="BH12" i="18"/>
  <c r="BI12" i="18" s="1"/>
  <c r="T32" i="6"/>
  <c r="BH31" i="18"/>
  <c r="BI31" i="18" s="1"/>
  <c r="T28" i="6"/>
  <c r="BH27" i="18"/>
  <c r="BI27" i="18" s="1"/>
  <c r="T26" i="6"/>
  <c r="BH25" i="18"/>
  <c r="BI25" i="18" s="1"/>
  <c r="T24" i="6"/>
  <c r="BH23" i="18"/>
  <c r="BI23" i="18" s="1"/>
  <c r="T22" i="6"/>
  <c r="BH21" i="18"/>
  <c r="BI21" i="18" s="1"/>
  <c r="T20" i="6"/>
  <c r="BH19" i="18"/>
  <c r="BI19" i="18" s="1"/>
  <c r="T18" i="6"/>
  <c r="BH17" i="18"/>
  <c r="BI17" i="18" s="1"/>
  <c r="T16" i="6"/>
  <c r="BH15" i="18"/>
  <c r="BI15" i="18" s="1"/>
  <c r="T14" i="6"/>
  <c r="BH13" i="18"/>
  <c r="BI13" i="18" s="1"/>
  <c r="T12" i="6"/>
  <c r="BH11" i="18"/>
  <c r="BI11" i="18" s="1"/>
  <c r="T11" i="6"/>
  <c r="BH10" i="18"/>
  <c r="T31" i="6"/>
  <c r="BH30" i="18"/>
  <c r="FO33" i="2"/>
  <c r="U36" i="6"/>
  <c r="I423" i="8"/>
  <c r="G424" i="8"/>
  <c r="I424" i="8" s="1"/>
  <c r="I422" i="8"/>
  <c r="I420" i="8"/>
  <c r="FT34" i="2"/>
  <c r="FS34" i="2"/>
  <c r="FR33" i="2"/>
  <c r="FR32" i="2"/>
  <c r="FQ34" i="2"/>
  <c r="FP34" i="2"/>
  <c r="FO32" i="2"/>
  <c r="FT30" i="2"/>
  <c r="FS30" i="2"/>
  <c r="FR29" i="2"/>
  <c r="FO29" i="2"/>
  <c r="FR28" i="2"/>
  <c r="FO28" i="2"/>
  <c r="FR27" i="2"/>
  <c r="FO27" i="2"/>
  <c r="FR26" i="2"/>
  <c r="FO26" i="2"/>
  <c r="FR25" i="2"/>
  <c r="FO25" i="2"/>
  <c r="FR24" i="2"/>
  <c r="FO24" i="2"/>
  <c r="FR23" i="2"/>
  <c r="FO23" i="2"/>
  <c r="FR22" i="2"/>
  <c r="FO22" i="2"/>
  <c r="FR21" i="2"/>
  <c r="FO21" i="2"/>
  <c r="FR20" i="2"/>
  <c r="FO20" i="2"/>
  <c r="FR19" i="2"/>
  <c r="FO19" i="2"/>
  <c r="FR18" i="2"/>
  <c r="FO18" i="2"/>
  <c r="FR17" i="2"/>
  <c r="FO17" i="2"/>
  <c r="FR16" i="2"/>
  <c r="FO16" i="2"/>
  <c r="FR15" i="2"/>
  <c r="FO15" i="2"/>
  <c r="FR14" i="2"/>
  <c r="FO14" i="2"/>
  <c r="FR13" i="2"/>
  <c r="FO13" i="2"/>
  <c r="FR12" i="2"/>
  <c r="FO12" i="2"/>
  <c r="FP30" i="2"/>
  <c r="FP37" i="2" s="1"/>
  <c r="E266" i="8" s="1"/>
  <c r="E269" i="8" s="1"/>
  <c r="T29" i="6" l="1"/>
  <c r="T33" i="6"/>
  <c r="BI10" i="18"/>
  <c r="BI28" i="18" s="1"/>
  <c r="BH28" i="18"/>
  <c r="BI30" i="18"/>
  <c r="BI32" i="18" s="1"/>
  <c r="BH32" i="18"/>
  <c r="FT37" i="2"/>
  <c r="FT42" i="2" s="1"/>
  <c r="FS37" i="2"/>
  <c r="FO34" i="2"/>
  <c r="FR30" i="2"/>
  <c r="FR34" i="2"/>
  <c r="FO30" i="2"/>
  <c r="FQ30" i="2"/>
  <c r="FQ37" i="2" s="1"/>
  <c r="T36" i="6" l="1"/>
  <c r="BI35" i="18"/>
  <c r="BH35" i="18"/>
  <c r="C14" i="7"/>
  <c r="F270" i="8"/>
  <c r="F273" i="8" s="1"/>
  <c r="F266" i="8"/>
  <c r="F269" i="8" s="1"/>
  <c r="FS42" i="2"/>
  <c r="FO37" i="2"/>
  <c r="FR37" i="2"/>
  <c r="E270" i="8"/>
  <c r="B14" i="7"/>
  <c r="S33" i="6"/>
  <c r="R33" i="6"/>
  <c r="S29" i="6"/>
  <c r="R29" i="6"/>
  <c r="D332" i="8"/>
  <c r="J266" i="8"/>
  <c r="I267" i="8"/>
  <c r="H267" i="8"/>
  <c r="BH36" i="18" l="1"/>
  <c r="H269" i="8"/>
  <c r="F255" i="8"/>
  <c r="H270" i="8"/>
  <c r="E273" i="8"/>
  <c r="E255" i="8" s="1"/>
  <c r="S36" i="6"/>
  <c r="G270" i="8"/>
  <c r="R36" i="6"/>
  <c r="G266" i="8"/>
  <c r="G269" i="8" s="1"/>
  <c r="H273" i="8" l="1"/>
  <c r="H255" i="8"/>
  <c r="I270" i="8"/>
  <c r="G273" i="8"/>
  <c r="I273" i="8" s="1"/>
  <c r="I269" i="8"/>
  <c r="H266" i="8"/>
  <c r="I266" i="8"/>
  <c r="I268" i="8"/>
  <c r="G255" i="8" l="1"/>
  <c r="I255" i="8" s="1"/>
  <c r="H268" i="8"/>
  <c r="AZ29" i="3" l="1"/>
  <c r="AZ28" i="3"/>
  <c r="AZ9" i="3"/>
  <c r="AZ10" i="3"/>
  <c r="AZ11" i="3"/>
  <c r="AZ12" i="3"/>
  <c r="AZ13" i="3"/>
  <c r="AZ14" i="3"/>
  <c r="AZ15" i="3"/>
  <c r="AZ16" i="3"/>
  <c r="AZ17" i="3"/>
  <c r="AZ18" i="3"/>
  <c r="AZ19" i="3"/>
  <c r="AZ20" i="3"/>
  <c r="AZ21" i="3"/>
  <c r="AZ22" i="3"/>
  <c r="AZ23" i="3"/>
  <c r="AZ24" i="3"/>
  <c r="AZ25" i="3"/>
  <c r="AZ8" i="3"/>
  <c r="BA30" i="3"/>
  <c r="BA26" i="3"/>
  <c r="D54" i="8"/>
  <c r="D71" i="8"/>
  <c r="D72" i="8" s="1"/>
  <c r="AZ26" i="3" l="1"/>
  <c r="AZ30" i="3"/>
  <c r="BA33" i="3"/>
  <c r="BA38" i="3" s="1"/>
  <c r="F70" i="8" l="1"/>
  <c r="F71" i="8" s="1"/>
  <c r="BA40" i="3"/>
  <c r="AZ33" i="3"/>
  <c r="AZ38" i="3" s="1"/>
  <c r="E70" i="8" s="1"/>
  <c r="G70" i="8" s="1"/>
  <c r="I70" i="8" s="1"/>
  <c r="F72" i="8" l="1"/>
  <c r="H70" i="8"/>
  <c r="E71" i="8"/>
  <c r="E72" i="8" s="1"/>
  <c r="G72" i="8" s="1"/>
  <c r="I72" i="8" s="1"/>
  <c r="H236" i="8"/>
  <c r="G236" i="8"/>
  <c r="I236" i="8" s="1"/>
  <c r="J18" i="11"/>
  <c r="D32" i="11"/>
  <c r="J23" i="11"/>
  <c r="J34" i="11"/>
  <c r="CZ9" i="4"/>
  <c r="DA9" i="4" s="1"/>
  <c r="CZ10" i="4"/>
  <c r="DA10" i="4" s="1"/>
  <c r="CZ11" i="4"/>
  <c r="DA11" i="4" s="1"/>
  <c r="CZ12" i="4"/>
  <c r="DA12" i="4" s="1"/>
  <c r="CZ13" i="4"/>
  <c r="DA13" i="4" s="1"/>
  <c r="CZ14" i="4"/>
  <c r="DA14" i="4" s="1"/>
  <c r="CZ15" i="4"/>
  <c r="DA15" i="4" s="1"/>
  <c r="CZ16" i="4"/>
  <c r="CZ17" i="4"/>
  <c r="DA17" i="4" s="1"/>
  <c r="CZ18" i="4"/>
  <c r="DA18" i="4" s="1"/>
  <c r="CZ19" i="4"/>
  <c r="DA19" i="4" s="1"/>
  <c r="CZ20" i="4"/>
  <c r="DA20" i="4" s="1"/>
  <c r="CZ21" i="4"/>
  <c r="DA21" i="4" s="1"/>
  <c r="CZ22" i="4"/>
  <c r="DA22" i="4" s="1"/>
  <c r="CZ23" i="4"/>
  <c r="DA23" i="4" s="1"/>
  <c r="CZ24" i="4"/>
  <c r="DA24" i="4" s="1"/>
  <c r="CZ25" i="4"/>
  <c r="DA25" i="4" s="1"/>
  <c r="CZ8" i="4"/>
  <c r="DA8" i="4" s="1"/>
  <c r="DD25" i="4"/>
  <c r="DE25" i="4" s="1"/>
  <c r="DD24" i="4"/>
  <c r="DE24" i="4" s="1"/>
  <c r="DC24" i="4" s="1"/>
  <c r="DD23" i="4"/>
  <c r="DE23" i="4" s="1"/>
  <c r="DC23" i="4" s="1"/>
  <c r="DD22" i="4"/>
  <c r="DE22" i="4" s="1"/>
  <c r="DC22" i="4" s="1"/>
  <c r="DD21" i="4"/>
  <c r="DE21" i="4" s="1"/>
  <c r="DD20" i="4"/>
  <c r="DE20" i="4" s="1"/>
  <c r="DC20" i="4" s="1"/>
  <c r="DD19" i="4"/>
  <c r="DE19" i="4" s="1"/>
  <c r="DC19" i="4" s="1"/>
  <c r="DD18" i="4"/>
  <c r="DE18" i="4" s="1"/>
  <c r="DC18" i="4" s="1"/>
  <c r="DD17" i="4"/>
  <c r="DE17" i="4" s="1"/>
  <c r="DD16" i="4"/>
  <c r="DE16" i="4" s="1"/>
  <c r="DD15" i="4"/>
  <c r="DE15" i="4" s="1"/>
  <c r="DD14" i="4"/>
  <c r="DE14" i="4" s="1"/>
  <c r="DC14" i="4" s="1"/>
  <c r="DD13" i="4"/>
  <c r="DE13" i="4" s="1"/>
  <c r="DD12" i="4"/>
  <c r="DE12" i="4" s="1"/>
  <c r="DC12" i="4" s="1"/>
  <c r="DD11" i="4"/>
  <c r="DE11" i="4" s="1"/>
  <c r="DC11" i="4" s="1"/>
  <c r="DD10" i="4"/>
  <c r="DD9" i="4"/>
  <c r="DE9" i="4" s="1"/>
  <c r="DD8" i="4"/>
  <c r="DE8" i="4" s="1"/>
  <c r="DC8" i="4" s="1"/>
  <c r="BL29" i="3"/>
  <c r="BL28" i="3"/>
  <c r="BM28" i="3" s="1"/>
  <c r="BL9" i="3"/>
  <c r="BL10" i="3"/>
  <c r="BL11" i="3"/>
  <c r="BL12" i="3"/>
  <c r="BL13" i="3"/>
  <c r="BL14" i="3"/>
  <c r="BL15" i="3"/>
  <c r="BL16" i="3"/>
  <c r="BL17" i="3"/>
  <c r="BL18" i="3"/>
  <c r="BL19" i="3"/>
  <c r="BL20" i="3"/>
  <c r="BL21" i="3"/>
  <c r="BL22" i="3"/>
  <c r="BL23" i="3"/>
  <c r="BL24" i="3"/>
  <c r="BL25" i="3"/>
  <c r="BL8" i="3"/>
  <c r="BM26" i="3"/>
  <c r="I33" i="11"/>
  <c r="H33" i="11"/>
  <c r="CQ32" i="6"/>
  <c r="CQ31" i="6"/>
  <c r="CQ12" i="6"/>
  <c r="CQ13" i="6"/>
  <c r="CQ14" i="6"/>
  <c r="CQ15" i="6"/>
  <c r="CQ16" i="6"/>
  <c r="CQ17" i="6"/>
  <c r="CQ18" i="6"/>
  <c r="CQ19" i="6"/>
  <c r="CQ20" i="6"/>
  <c r="CQ21" i="6"/>
  <c r="CQ22" i="6"/>
  <c r="CQ23" i="6"/>
  <c r="CQ24" i="6"/>
  <c r="CQ25" i="6"/>
  <c r="CQ26" i="6"/>
  <c r="CQ27" i="6"/>
  <c r="CQ28" i="6"/>
  <c r="CQ11" i="6"/>
  <c r="CP32" i="6"/>
  <c r="CP31" i="6"/>
  <c r="CP12" i="6"/>
  <c r="CP13" i="6"/>
  <c r="CP14" i="6"/>
  <c r="CP15" i="6"/>
  <c r="CP16" i="6"/>
  <c r="CP17" i="6"/>
  <c r="CP18" i="6"/>
  <c r="CP19" i="6"/>
  <c r="CP21" i="6"/>
  <c r="CP22" i="6"/>
  <c r="CP23" i="6"/>
  <c r="CP25" i="6"/>
  <c r="CP26" i="6"/>
  <c r="CP27" i="6"/>
  <c r="F34" i="11"/>
  <c r="DC9" i="4" l="1"/>
  <c r="DC25" i="4"/>
  <c r="DC13" i="4"/>
  <c r="DC17" i="4"/>
  <c r="DA16" i="4"/>
  <c r="DC16" i="4" s="1"/>
  <c r="DE10" i="4"/>
  <c r="DC10" i="4" s="1"/>
  <c r="DC21" i="4"/>
  <c r="DC15" i="4"/>
  <c r="BM29" i="3"/>
  <c r="DB8" i="4"/>
  <c r="DB14" i="4"/>
  <c r="DB18" i="4"/>
  <c r="DB16" i="4"/>
  <c r="DB11" i="4"/>
  <c r="DB15" i="4"/>
  <c r="DB19" i="4"/>
  <c r="DB23" i="4"/>
  <c r="H71" i="8"/>
  <c r="G71" i="8"/>
  <c r="I71" i="8" s="1"/>
  <c r="H72" i="8"/>
  <c r="C50" i="7"/>
  <c r="DB25" i="4"/>
  <c r="DB21" i="4"/>
  <c r="DB22" i="4"/>
  <c r="DB24" i="4"/>
  <c r="DB20" i="4"/>
  <c r="DB12" i="4"/>
  <c r="DB9" i="4"/>
  <c r="DB17" i="4"/>
  <c r="CP33" i="6"/>
  <c r="DB10" i="4"/>
  <c r="DB13" i="4"/>
  <c r="DD26" i="4"/>
  <c r="CZ26" i="4"/>
  <c r="BL36" i="3" s="1"/>
  <c r="BL30" i="3"/>
  <c r="BL26" i="3"/>
  <c r="CQ33" i="6"/>
  <c r="CQ29" i="6"/>
  <c r="CP24" i="6"/>
  <c r="CP28" i="6"/>
  <c r="CP20" i="6"/>
  <c r="CP11" i="6"/>
  <c r="DE26" i="4" l="1"/>
  <c r="DA26" i="4"/>
  <c r="BM36" i="3" s="1"/>
  <c r="DC26" i="4"/>
  <c r="BM30" i="3"/>
  <c r="BM33" i="3" s="1"/>
  <c r="F35" i="11"/>
  <c r="F32" i="11" s="1"/>
  <c r="DB26" i="4"/>
  <c r="CQ36" i="6"/>
  <c r="B50" i="7"/>
  <c r="E35" i="11"/>
  <c r="BL33" i="3"/>
  <c r="BL38" i="3" s="1"/>
  <c r="E234" i="8" s="1"/>
  <c r="E237" i="8" s="1"/>
  <c r="G237" i="8" s="1"/>
  <c r="I237" i="8" s="1"/>
  <c r="CP29" i="6"/>
  <c r="CP36" i="6" s="1"/>
  <c r="E34" i="11"/>
  <c r="BM38" i="3" l="1"/>
  <c r="F234" i="8" s="1"/>
  <c r="F237" i="8" s="1"/>
  <c r="H237" i="8" s="1"/>
  <c r="E32" i="11"/>
  <c r="H32" i="11" s="1"/>
  <c r="H34" i="11"/>
  <c r="G35" i="11"/>
  <c r="I35" i="11" s="1"/>
  <c r="H35" i="11"/>
  <c r="G34" i="11"/>
  <c r="G234" i="8"/>
  <c r="I234" i="8" s="1"/>
  <c r="H234" i="8" l="1"/>
  <c r="BM40" i="3"/>
  <c r="G32" i="11"/>
  <c r="I32" i="11" s="1"/>
  <c r="I34" i="11"/>
  <c r="G235" i="8"/>
  <c r="I235" i="8" s="1"/>
  <c r="H235" i="8"/>
  <c r="CO32" i="6"/>
  <c r="CM32" i="6"/>
  <c r="CO31" i="6"/>
  <c r="CM31" i="6"/>
  <c r="CM12" i="6"/>
  <c r="CO12" i="6"/>
  <c r="CM13" i="6"/>
  <c r="CO13" i="6"/>
  <c r="CM14" i="6"/>
  <c r="CO14" i="6"/>
  <c r="CM15" i="6"/>
  <c r="CO15" i="6"/>
  <c r="CM16" i="6"/>
  <c r="CO16" i="6"/>
  <c r="CM17" i="6"/>
  <c r="CO17" i="6"/>
  <c r="CM18" i="6"/>
  <c r="CO18" i="6"/>
  <c r="CM19" i="6"/>
  <c r="CO19" i="6"/>
  <c r="CM20" i="6"/>
  <c r="CO20" i="6"/>
  <c r="CM21" i="6"/>
  <c r="CO21" i="6"/>
  <c r="CM22" i="6"/>
  <c r="CO22" i="6"/>
  <c r="CM23" i="6"/>
  <c r="CO23" i="6"/>
  <c r="CM24" i="6"/>
  <c r="CO24" i="6"/>
  <c r="CM25" i="6"/>
  <c r="CO25" i="6"/>
  <c r="CM26" i="6"/>
  <c r="CO26" i="6"/>
  <c r="CM27" i="6"/>
  <c r="CO27" i="6"/>
  <c r="CM28" i="6"/>
  <c r="CO28" i="6"/>
  <c r="CO11" i="6"/>
  <c r="CM11" i="6"/>
  <c r="DR12" i="2"/>
  <c r="DR13" i="2"/>
  <c r="CO33" i="6" l="1"/>
  <c r="CO29" i="6"/>
  <c r="CO36" i="6" l="1"/>
  <c r="AR49" i="1"/>
  <c r="D21" i="11" l="1"/>
  <c r="F30" i="11" l="1"/>
  <c r="E30" i="11"/>
  <c r="AP29" i="3"/>
  <c r="AP28" i="3"/>
  <c r="AP9" i="3"/>
  <c r="AP10" i="3"/>
  <c r="AP11" i="3"/>
  <c r="AP12" i="3"/>
  <c r="AP13" i="3"/>
  <c r="AP14" i="3"/>
  <c r="AP15" i="3"/>
  <c r="AP16" i="3"/>
  <c r="AP17" i="3"/>
  <c r="AP18" i="3"/>
  <c r="AP19" i="3"/>
  <c r="AP20" i="3"/>
  <c r="AP21" i="3"/>
  <c r="AP22" i="3"/>
  <c r="AP23" i="3"/>
  <c r="AP24" i="3"/>
  <c r="AP25" i="3"/>
  <c r="AP8" i="3"/>
  <c r="AQ26" i="3"/>
  <c r="AQ43" i="3" s="1"/>
  <c r="AQ29" i="3" l="1"/>
  <c r="H30" i="11"/>
  <c r="G30" i="11"/>
  <c r="I30" i="11" s="1"/>
  <c r="AP26" i="3"/>
  <c r="AP43" i="3" s="1"/>
  <c r="AP30" i="3"/>
  <c r="AP44" i="3" s="1"/>
  <c r="D93" i="8"/>
  <c r="C24" i="16" s="1"/>
  <c r="AQ30" i="3" l="1"/>
  <c r="AP33" i="3"/>
  <c r="AQ44" i="3" l="1"/>
  <c r="AQ33" i="3"/>
  <c r="AQ38" i="3" s="1"/>
  <c r="G92" i="8"/>
  <c r="I92" i="8" s="1"/>
  <c r="AQ40" i="3" l="1"/>
  <c r="F91" i="8"/>
  <c r="H92" i="8"/>
  <c r="F93" i="8" l="1"/>
  <c r="E24" i="16" s="1"/>
  <c r="D239" i="8"/>
  <c r="D68" i="8"/>
  <c r="AX29" i="3"/>
  <c r="AX28" i="3"/>
  <c r="AX9" i="3"/>
  <c r="AX10" i="3"/>
  <c r="AX11" i="3"/>
  <c r="AX12" i="3"/>
  <c r="AX13" i="3"/>
  <c r="AX14" i="3"/>
  <c r="AX15" i="3"/>
  <c r="AX16" i="3"/>
  <c r="AX17" i="3"/>
  <c r="AX18" i="3"/>
  <c r="AX19" i="3"/>
  <c r="AX20" i="3"/>
  <c r="AX21" i="3"/>
  <c r="AX22" i="3"/>
  <c r="AX23" i="3"/>
  <c r="AX24" i="3"/>
  <c r="AX25" i="3"/>
  <c r="AX8" i="3"/>
  <c r="AY15" i="3" l="1"/>
  <c r="AY23" i="3"/>
  <c r="AY11" i="3"/>
  <c r="AY24" i="3"/>
  <c r="AY16" i="3"/>
  <c r="AY21" i="3"/>
  <c r="AY17" i="3"/>
  <c r="AY13" i="3"/>
  <c r="AY9" i="3"/>
  <c r="AY19" i="3"/>
  <c r="AY20" i="3"/>
  <c r="AY12" i="3"/>
  <c r="AY25" i="3"/>
  <c r="AY8" i="3"/>
  <c r="AY22" i="3"/>
  <c r="AY18" i="3"/>
  <c r="AY14" i="3"/>
  <c r="AY10" i="3"/>
  <c r="AY29" i="3"/>
  <c r="AY28" i="3"/>
  <c r="D69" i="8"/>
  <c r="AX26" i="3"/>
  <c r="AX43" i="3" s="1"/>
  <c r="AX30" i="3"/>
  <c r="AX44" i="3" s="1"/>
  <c r="AY26" i="3" l="1"/>
  <c r="AY43" i="3" s="1"/>
  <c r="AY30" i="3"/>
  <c r="AX33" i="3"/>
  <c r="AX38" i="3" s="1"/>
  <c r="E67" i="8" s="1"/>
  <c r="G67" i="8" s="1"/>
  <c r="I67" i="8" s="1"/>
  <c r="AY44" i="3" l="1"/>
  <c r="AY33" i="3"/>
  <c r="AY38" i="3" s="1"/>
  <c r="E68" i="8"/>
  <c r="E69" i="8" s="1"/>
  <c r="G69" i="8" s="1"/>
  <c r="I69" i="8" s="1"/>
  <c r="D290" i="8"/>
  <c r="D291" i="8" s="1"/>
  <c r="D287" i="8"/>
  <c r="D288" i="8" s="1"/>
  <c r="J286" i="8"/>
  <c r="C8" i="7"/>
  <c r="I32" i="6"/>
  <c r="I31" i="6"/>
  <c r="I12" i="6"/>
  <c r="I13" i="6"/>
  <c r="I14" i="6"/>
  <c r="I15" i="6"/>
  <c r="I16" i="6"/>
  <c r="I17" i="6"/>
  <c r="I18" i="6"/>
  <c r="I19" i="6"/>
  <c r="I20" i="6"/>
  <c r="I21" i="6"/>
  <c r="I22" i="6"/>
  <c r="I23" i="6"/>
  <c r="I24" i="6"/>
  <c r="I25" i="6"/>
  <c r="I26" i="6"/>
  <c r="I27" i="6"/>
  <c r="I28" i="6"/>
  <c r="I11" i="6"/>
  <c r="DX33" i="2"/>
  <c r="DW33" i="2"/>
  <c r="DX32" i="2"/>
  <c r="DW32" i="2"/>
  <c r="DW13" i="2"/>
  <c r="DX13" i="2"/>
  <c r="DW14" i="2"/>
  <c r="DX14" i="2"/>
  <c r="DW15" i="2"/>
  <c r="DX15" i="2"/>
  <c r="DW16" i="2"/>
  <c r="DX16" i="2"/>
  <c r="DW17" i="2"/>
  <c r="DX17" i="2"/>
  <c r="DW18" i="2"/>
  <c r="DX18" i="2"/>
  <c r="DW19" i="2"/>
  <c r="DX19" i="2"/>
  <c r="DW20" i="2"/>
  <c r="DX20" i="2"/>
  <c r="DW21" i="2"/>
  <c r="DX21" i="2"/>
  <c r="DW22" i="2"/>
  <c r="DX22" i="2"/>
  <c r="DW23" i="2"/>
  <c r="DX23" i="2"/>
  <c r="DW24" i="2"/>
  <c r="DX24" i="2"/>
  <c r="DW25" i="2"/>
  <c r="DX25" i="2"/>
  <c r="DW26" i="2"/>
  <c r="DX26" i="2"/>
  <c r="DW27" i="2"/>
  <c r="DX27" i="2"/>
  <c r="DW28" i="2"/>
  <c r="DX28" i="2"/>
  <c r="DW29" i="2"/>
  <c r="DX29" i="2"/>
  <c r="DW12" i="2"/>
  <c r="DX12" i="2"/>
  <c r="EF34" i="2"/>
  <c r="EE34" i="2"/>
  <c r="EF30" i="2"/>
  <c r="EE30" i="2"/>
  <c r="H28" i="6" l="1"/>
  <c r="T27" i="18"/>
  <c r="U27" i="18" s="1"/>
  <c r="H26" i="6"/>
  <c r="T25" i="18"/>
  <c r="U25" i="18" s="1"/>
  <c r="H24" i="6"/>
  <c r="T23" i="18"/>
  <c r="U23" i="18" s="1"/>
  <c r="H22" i="6"/>
  <c r="T21" i="18"/>
  <c r="U21" i="18" s="1"/>
  <c r="H20" i="6"/>
  <c r="T19" i="18"/>
  <c r="U19" i="18" s="1"/>
  <c r="H18" i="6"/>
  <c r="T17" i="18"/>
  <c r="U17" i="18" s="1"/>
  <c r="H16" i="6"/>
  <c r="T15" i="18"/>
  <c r="U15" i="18" s="1"/>
  <c r="H14" i="6"/>
  <c r="T13" i="18"/>
  <c r="U13" i="18" s="1"/>
  <c r="H12" i="6"/>
  <c r="T11" i="18"/>
  <c r="U11" i="18" s="1"/>
  <c r="H31" i="6"/>
  <c r="T30" i="18"/>
  <c r="H27" i="6"/>
  <c r="T26" i="18"/>
  <c r="U26" i="18" s="1"/>
  <c r="H25" i="6"/>
  <c r="T24" i="18"/>
  <c r="U24" i="18" s="1"/>
  <c r="H23" i="6"/>
  <c r="T22" i="18"/>
  <c r="U22" i="18" s="1"/>
  <c r="H21" i="6"/>
  <c r="T20" i="18"/>
  <c r="U20" i="18" s="1"/>
  <c r="H19" i="6"/>
  <c r="T18" i="18"/>
  <c r="U18" i="18" s="1"/>
  <c r="H17" i="6"/>
  <c r="T16" i="18"/>
  <c r="U16" i="18" s="1"/>
  <c r="H15" i="6"/>
  <c r="T14" i="18"/>
  <c r="U14" i="18" s="1"/>
  <c r="H13" i="6"/>
  <c r="T12" i="18"/>
  <c r="U12" i="18" s="1"/>
  <c r="H11" i="6"/>
  <c r="T10" i="18"/>
  <c r="H32" i="6"/>
  <c r="H33" i="6" s="1"/>
  <c r="T31" i="18"/>
  <c r="U31" i="18" s="1"/>
  <c r="EF37" i="2"/>
  <c r="F67" i="8"/>
  <c r="H67" i="8" s="1"/>
  <c r="AY40" i="3"/>
  <c r="I33" i="6"/>
  <c r="EE37" i="2"/>
  <c r="I29" i="6"/>
  <c r="G68" i="8"/>
  <c r="I68" i="8" s="1"/>
  <c r="DW30" i="2"/>
  <c r="DX30" i="2"/>
  <c r="DW34" i="2"/>
  <c r="DX34" i="2"/>
  <c r="D355" i="8"/>
  <c r="J353" i="8"/>
  <c r="AI32" i="6"/>
  <c r="AI31" i="6"/>
  <c r="AI12" i="6"/>
  <c r="AI13" i="6"/>
  <c r="AI14" i="6"/>
  <c r="AI15" i="6"/>
  <c r="AI16" i="6"/>
  <c r="AI17" i="6"/>
  <c r="AI18" i="6"/>
  <c r="AI19" i="6"/>
  <c r="AI20" i="6"/>
  <c r="AI21" i="6"/>
  <c r="AI22" i="6"/>
  <c r="AI23" i="6"/>
  <c r="AI24" i="6"/>
  <c r="AI25" i="6"/>
  <c r="AI26" i="6"/>
  <c r="AI27" i="6"/>
  <c r="AI28" i="6"/>
  <c r="AI11" i="6"/>
  <c r="H29" i="6" l="1"/>
  <c r="H36" i="6" s="1"/>
  <c r="U10" i="18"/>
  <c r="U28" i="18" s="1"/>
  <c r="T28" i="18"/>
  <c r="U30" i="18"/>
  <c r="U32" i="18" s="1"/>
  <c r="T32" i="18"/>
  <c r="F286" i="8"/>
  <c r="F287" i="8" s="1"/>
  <c r="F288" i="8" s="1"/>
  <c r="EE42" i="2"/>
  <c r="C9" i="7"/>
  <c r="EF42" i="2"/>
  <c r="F289" i="8"/>
  <c r="F290" i="8" s="1"/>
  <c r="F291" i="8" s="1"/>
  <c r="F68" i="8"/>
  <c r="H68" i="8" s="1"/>
  <c r="I36" i="6"/>
  <c r="D358" i="8"/>
  <c r="C7" i="16" s="1"/>
  <c r="AI33" i="6"/>
  <c r="DX37" i="2"/>
  <c r="B8" i="7" s="1"/>
  <c r="DW37" i="2"/>
  <c r="E286" i="8" s="1"/>
  <c r="E287" i="8" s="1"/>
  <c r="G287" i="8" s="1"/>
  <c r="I287" i="8" s="1"/>
  <c r="AI29" i="6"/>
  <c r="T35" i="18" l="1"/>
  <c r="U35" i="18"/>
  <c r="F69" i="8"/>
  <c r="H69" i="8" s="1"/>
  <c r="AI36" i="6"/>
  <c r="E289" i="8"/>
  <c r="G289" i="8" s="1"/>
  <c r="I289" i="8" s="1"/>
  <c r="H286" i="8"/>
  <c r="G286" i="8"/>
  <c r="I286" i="8" s="1"/>
  <c r="H287" i="8"/>
  <c r="E288" i="8"/>
  <c r="HG33" i="2"/>
  <c r="HF33" i="2"/>
  <c r="HG32" i="2"/>
  <c r="DD30" i="18" s="1"/>
  <c r="HF32" i="2"/>
  <c r="HF13" i="2"/>
  <c r="HG13" i="2"/>
  <c r="HF14" i="2"/>
  <c r="HG14" i="2"/>
  <c r="HF15" i="2"/>
  <c r="HG15" i="2"/>
  <c r="HF16" i="2"/>
  <c r="HG16" i="2"/>
  <c r="HF17" i="2"/>
  <c r="HG17" i="2"/>
  <c r="HF18" i="2"/>
  <c r="HG18" i="2"/>
  <c r="HF19" i="2"/>
  <c r="HG19" i="2"/>
  <c r="HF20" i="2"/>
  <c r="HG20" i="2"/>
  <c r="HF21" i="2"/>
  <c r="HG21" i="2"/>
  <c r="HF22" i="2"/>
  <c r="HG22" i="2"/>
  <c r="HF23" i="2"/>
  <c r="HG23" i="2"/>
  <c r="HF24" i="2"/>
  <c r="HG24" i="2"/>
  <c r="HF25" i="2"/>
  <c r="HG25" i="2"/>
  <c r="HF26" i="2"/>
  <c r="HG26" i="2"/>
  <c r="HF27" i="2"/>
  <c r="HG27" i="2"/>
  <c r="HF28" i="2"/>
  <c r="HG28" i="2"/>
  <c r="HF29" i="2"/>
  <c r="HG29" i="2"/>
  <c r="HG12" i="2"/>
  <c r="HF12" i="2"/>
  <c r="HX13" i="2"/>
  <c r="HY13" i="2"/>
  <c r="HX14" i="2"/>
  <c r="HY14" i="2"/>
  <c r="HX15" i="2"/>
  <c r="HY15" i="2"/>
  <c r="HX16" i="2"/>
  <c r="HY16" i="2"/>
  <c r="HX17" i="2"/>
  <c r="HY17" i="2"/>
  <c r="HX18" i="2"/>
  <c r="HY18" i="2"/>
  <c r="HX19" i="2"/>
  <c r="HY19" i="2"/>
  <c r="HX20" i="2"/>
  <c r="HY20" i="2"/>
  <c r="HX21" i="2"/>
  <c r="HY21" i="2"/>
  <c r="HX22" i="2"/>
  <c r="HY22" i="2"/>
  <c r="HX23" i="2"/>
  <c r="HY23" i="2"/>
  <c r="HX24" i="2"/>
  <c r="HY24" i="2"/>
  <c r="HX25" i="2"/>
  <c r="HY25" i="2"/>
  <c r="HX26" i="2"/>
  <c r="HY26" i="2"/>
  <c r="HX27" i="2"/>
  <c r="HY27" i="2"/>
  <c r="HX28" i="2"/>
  <c r="HY28" i="2"/>
  <c r="HX29" i="2"/>
  <c r="HY29" i="2"/>
  <c r="HY12" i="2"/>
  <c r="HX12" i="2"/>
  <c r="IZ29" i="2"/>
  <c r="IY29" i="2"/>
  <c r="IZ28" i="2"/>
  <c r="IY28" i="2"/>
  <c r="IZ27" i="2"/>
  <c r="IY27" i="2"/>
  <c r="IZ26" i="2"/>
  <c r="IY26" i="2"/>
  <c r="IZ25" i="2"/>
  <c r="IY25" i="2"/>
  <c r="IZ24" i="2"/>
  <c r="IY24" i="2"/>
  <c r="IZ23" i="2"/>
  <c r="IY23" i="2"/>
  <c r="IZ22" i="2"/>
  <c r="IY22" i="2"/>
  <c r="IZ21" i="2"/>
  <c r="IY21" i="2"/>
  <c r="IZ20" i="2"/>
  <c r="IY20" i="2"/>
  <c r="IZ19" i="2"/>
  <c r="IY19" i="2"/>
  <c r="IZ18" i="2"/>
  <c r="IY18" i="2"/>
  <c r="IZ17" i="2"/>
  <c r="IY17" i="2"/>
  <c r="IZ16" i="2"/>
  <c r="IY16" i="2"/>
  <c r="IZ15" i="2"/>
  <c r="IY15" i="2"/>
  <c r="IZ14" i="2"/>
  <c r="IY14" i="2"/>
  <c r="IZ13" i="2"/>
  <c r="IY13" i="2"/>
  <c r="IZ12" i="2"/>
  <c r="IY12" i="2"/>
  <c r="JH13" i="2"/>
  <c r="IP13" i="2" s="1"/>
  <c r="JI13" i="2"/>
  <c r="JH14" i="2"/>
  <c r="IP14" i="2" s="1"/>
  <c r="JI14" i="2"/>
  <c r="IQ14" i="2" s="1"/>
  <c r="JH15" i="2"/>
  <c r="IP15" i="2" s="1"/>
  <c r="JI15" i="2"/>
  <c r="JH16" i="2"/>
  <c r="JI16" i="2"/>
  <c r="IQ16" i="2" s="1"/>
  <c r="JH17" i="2"/>
  <c r="IP17" i="2" s="1"/>
  <c r="JI17" i="2"/>
  <c r="JH18" i="2"/>
  <c r="JI18" i="2"/>
  <c r="IQ18" i="2" s="1"/>
  <c r="JH19" i="2"/>
  <c r="IP19" i="2" s="1"/>
  <c r="JI19" i="2"/>
  <c r="JH20" i="2"/>
  <c r="JI20" i="2"/>
  <c r="IQ20" i="2" s="1"/>
  <c r="JH21" i="2"/>
  <c r="IP21" i="2" s="1"/>
  <c r="JI21" i="2"/>
  <c r="JH22" i="2"/>
  <c r="JI22" i="2"/>
  <c r="IQ22" i="2" s="1"/>
  <c r="JH23" i="2"/>
  <c r="IP23" i="2" s="1"/>
  <c r="JI23" i="2"/>
  <c r="JH24" i="2"/>
  <c r="JI24" i="2"/>
  <c r="IQ24" i="2" s="1"/>
  <c r="JH25" i="2"/>
  <c r="IP25" i="2" s="1"/>
  <c r="JI25" i="2"/>
  <c r="JH26" i="2"/>
  <c r="JI26" i="2"/>
  <c r="IQ26" i="2" s="1"/>
  <c r="JH27" i="2"/>
  <c r="IP27" i="2" s="1"/>
  <c r="JI27" i="2"/>
  <c r="JH28" i="2"/>
  <c r="JI28" i="2"/>
  <c r="IQ28" i="2" s="1"/>
  <c r="JH29" i="2"/>
  <c r="IP29" i="2" s="1"/>
  <c r="JI29" i="2"/>
  <c r="JI12" i="2"/>
  <c r="IQ12" i="2" s="1"/>
  <c r="JH12" i="2"/>
  <c r="JP13" i="2"/>
  <c r="JP15" i="2"/>
  <c r="JP16" i="2"/>
  <c r="JP17" i="2"/>
  <c r="JP18" i="2"/>
  <c r="JP20" i="2"/>
  <c r="JP21" i="2"/>
  <c r="JP22" i="2"/>
  <c r="JP23" i="2"/>
  <c r="JP24" i="2"/>
  <c r="JP25" i="2"/>
  <c r="JP26" i="2"/>
  <c r="JP28" i="2"/>
  <c r="JP29" i="2"/>
  <c r="JP12" i="2"/>
  <c r="JR34" i="2"/>
  <c r="JQ34" i="2"/>
  <c r="JR30" i="2"/>
  <c r="JQ30" i="2"/>
  <c r="JI34" i="2"/>
  <c r="JH34" i="2"/>
  <c r="IZ34" i="2"/>
  <c r="IY34" i="2"/>
  <c r="IQ34" i="2"/>
  <c r="IP34" i="2"/>
  <c r="HY34" i="2"/>
  <c r="HX34" i="2"/>
  <c r="HP34" i="2"/>
  <c r="HO34" i="2"/>
  <c r="HP30" i="2"/>
  <c r="HO30" i="2"/>
  <c r="IH34" i="2"/>
  <c r="IG34" i="2"/>
  <c r="IH30" i="2"/>
  <c r="IG30" i="2"/>
  <c r="T36" i="18" l="1"/>
  <c r="AH32" i="6"/>
  <c r="DD31" i="18"/>
  <c r="DD32" i="18" s="1"/>
  <c r="DD27" i="18"/>
  <c r="DF27" i="18" s="1"/>
  <c r="DD25" i="18"/>
  <c r="DF25" i="18" s="1"/>
  <c r="DD23" i="18"/>
  <c r="DF23" i="18" s="1"/>
  <c r="DD21" i="18"/>
  <c r="DF21" i="18" s="1"/>
  <c r="DD19" i="18"/>
  <c r="DF19" i="18" s="1"/>
  <c r="DD17" i="18"/>
  <c r="DF17" i="18" s="1"/>
  <c r="DD15" i="18"/>
  <c r="DF15" i="18" s="1"/>
  <c r="DD13" i="18"/>
  <c r="DF13" i="18" s="1"/>
  <c r="DD11" i="18"/>
  <c r="DF11" i="18" s="1"/>
  <c r="DD10" i="18"/>
  <c r="DD26" i="18"/>
  <c r="DF26" i="18" s="1"/>
  <c r="DD24" i="18"/>
  <c r="DF24" i="18" s="1"/>
  <c r="DD22" i="18"/>
  <c r="DF22" i="18" s="1"/>
  <c r="DD20" i="18"/>
  <c r="DF20" i="18" s="1"/>
  <c r="DD18" i="18"/>
  <c r="DF18" i="18" s="1"/>
  <c r="DD16" i="18"/>
  <c r="DF16" i="18" s="1"/>
  <c r="DD14" i="18"/>
  <c r="DF14" i="18" s="1"/>
  <c r="DD12" i="18"/>
  <c r="DF12" i="18" s="1"/>
  <c r="HO37" i="2"/>
  <c r="JQ37" i="2"/>
  <c r="IG37" i="2"/>
  <c r="IY30" i="2"/>
  <c r="IY37" i="2" s="1"/>
  <c r="IH37" i="2"/>
  <c r="HP37" i="2"/>
  <c r="JR37" i="2"/>
  <c r="IZ30" i="2"/>
  <c r="IZ37" i="2" s="1"/>
  <c r="E290" i="8"/>
  <c r="E291" i="8" s="1"/>
  <c r="G291" i="8" s="1"/>
  <c r="I291" i="8" s="1"/>
  <c r="H289" i="8"/>
  <c r="G288" i="8"/>
  <c r="I288" i="8" s="1"/>
  <c r="H288" i="8"/>
  <c r="HY30" i="2"/>
  <c r="HY37" i="2" s="1"/>
  <c r="JH30" i="2"/>
  <c r="JH37" i="2" s="1"/>
  <c r="HF34" i="2"/>
  <c r="HX30" i="2"/>
  <c r="HX37" i="2" s="1"/>
  <c r="JI30" i="2"/>
  <c r="JI37" i="2" s="1"/>
  <c r="IP12" i="2"/>
  <c r="AH27" i="6"/>
  <c r="AH25" i="6"/>
  <c r="AH23" i="6"/>
  <c r="AH21" i="6"/>
  <c r="AH19" i="6"/>
  <c r="AH17" i="6"/>
  <c r="AH15" i="6"/>
  <c r="AH13" i="6"/>
  <c r="AH26" i="6"/>
  <c r="AH22" i="6"/>
  <c r="AH18" i="6"/>
  <c r="AH14" i="6"/>
  <c r="HG30" i="2"/>
  <c r="AH12" i="6"/>
  <c r="IQ29" i="2"/>
  <c r="IQ27" i="2"/>
  <c r="IQ25" i="2"/>
  <c r="IQ23" i="2"/>
  <c r="IQ21" i="2"/>
  <c r="IQ19" i="2"/>
  <c r="IQ17" i="2"/>
  <c r="IQ15" i="2"/>
  <c r="IQ13" i="2"/>
  <c r="AH28" i="6"/>
  <c r="AH24" i="6"/>
  <c r="AH20" i="6"/>
  <c r="AH16" i="6"/>
  <c r="HG34" i="2"/>
  <c r="AH31" i="6"/>
  <c r="IP28" i="2"/>
  <c r="IP26" i="2"/>
  <c r="IP24" i="2"/>
  <c r="IP22" i="2"/>
  <c r="IP20" i="2"/>
  <c r="IP18" i="2"/>
  <c r="IP16" i="2"/>
  <c r="AH11" i="6"/>
  <c r="HF30" i="2"/>
  <c r="DF10" i="18" l="1"/>
  <c r="DF28" i="18" s="1"/>
  <c r="DF35" i="18" s="1"/>
  <c r="DD28" i="18"/>
  <c r="DD35" i="18" s="1"/>
  <c r="HO38" i="2"/>
  <c r="HO42" i="2" s="1"/>
  <c r="AH33" i="6"/>
  <c r="HP38" i="2"/>
  <c r="G290" i="8"/>
  <c r="I290" i="8" s="1"/>
  <c r="H290" i="8"/>
  <c r="H291" i="8"/>
  <c r="HF37" i="2"/>
  <c r="HF38" i="2" s="1"/>
  <c r="E353" i="8" s="1"/>
  <c r="G353" i="8" s="1"/>
  <c r="IP30" i="2"/>
  <c r="IP37" i="2" s="1"/>
  <c r="IQ30" i="2"/>
  <c r="IQ37" i="2" s="1"/>
  <c r="HG37" i="2"/>
  <c r="HG38" i="2" s="1"/>
  <c r="B17" i="7" s="1"/>
  <c r="AH29" i="6"/>
  <c r="F353" i="8" l="1"/>
  <c r="F355" i="8" s="1"/>
  <c r="DD36" i="18"/>
  <c r="F356" i="8"/>
  <c r="F358" i="8" s="1"/>
  <c r="HP42" i="2"/>
  <c r="AH36" i="6"/>
  <c r="C17" i="7"/>
  <c r="H354" i="8"/>
  <c r="E356" i="8"/>
  <c r="I354" i="8"/>
  <c r="I353" i="8"/>
  <c r="Q29" i="6"/>
  <c r="Q33" i="6"/>
  <c r="H353" i="8" l="1"/>
  <c r="E7" i="16"/>
  <c r="H356" i="8"/>
  <c r="E355" i="8"/>
  <c r="H357" i="8"/>
  <c r="G356" i="8"/>
  <c r="I356" i="8" s="1"/>
  <c r="Q36" i="6"/>
  <c r="D308" i="8"/>
  <c r="D487" i="8" s="1"/>
  <c r="G307" i="8"/>
  <c r="G306" i="8"/>
  <c r="D304" i="8"/>
  <c r="G303" i="8"/>
  <c r="G302" i="8"/>
  <c r="G355" i="8" l="1"/>
  <c r="H355" i="8"/>
  <c r="E358" i="8"/>
  <c r="H358" i="8" s="1"/>
  <c r="I442" i="8"/>
  <c r="H442" i="8"/>
  <c r="AT30" i="2"/>
  <c r="AT34" i="2"/>
  <c r="D180" i="8"/>
  <c r="C9" i="16" s="1"/>
  <c r="H179" i="8"/>
  <c r="G179" i="8"/>
  <c r="I179" i="8" s="1"/>
  <c r="J178" i="8"/>
  <c r="H198" i="8"/>
  <c r="G198" i="8"/>
  <c r="I198" i="8" s="1"/>
  <c r="CH9" i="4"/>
  <c r="CK9" i="4"/>
  <c r="CL9" i="4"/>
  <c r="CH10" i="4"/>
  <c r="CL10" i="4"/>
  <c r="CH11" i="4"/>
  <c r="CK11" i="4"/>
  <c r="CL11" i="4"/>
  <c r="CH12" i="4"/>
  <c r="CK12" i="4"/>
  <c r="CL12" i="4"/>
  <c r="CH13" i="4"/>
  <c r="CK13" i="4"/>
  <c r="CL13" i="4"/>
  <c r="CH14" i="4"/>
  <c r="CK14" i="4"/>
  <c r="CL14" i="4"/>
  <c r="CH15" i="4"/>
  <c r="CL15" i="4"/>
  <c r="CH16" i="4"/>
  <c r="CK16" i="4"/>
  <c r="CL16" i="4"/>
  <c r="CH17" i="4"/>
  <c r="CK17" i="4"/>
  <c r="CL17" i="4"/>
  <c r="CH18" i="4"/>
  <c r="CK18" i="4"/>
  <c r="CL18" i="4"/>
  <c r="CH19" i="4"/>
  <c r="CK19" i="4"/>
  <c r="CL19" i="4"/>
  <c r="CH20" i="4"/>
  <c r="CK20" i="4"/>
  <c r="CL20" i="4"/>
  <c r="CH21" i="4"/>
  <c r="CK21" i="4"/>
  <c r="CL21" i="4"/>
  <c r="CH22" i="4"/>
  <c r="CK22" i="4"/>
  <c r="CL22" i="4"/>
  <c r="CH23" i="4"/>
  <c r="CK23" i="4"/>
  <c r="CL23" i="4"/>
  <c r="CH24" i="4"/>
  <c r="CK24" i="4"/>
  <c r="CL24" i="4"/>
  <c r="CH25" i="4"/>
  <c r="CK25" i="4"/>
  <c r="CL25" i="4"/>
  <c r="CL8" i="4"/>
  <c r="CH8" i="4"/>
  <c r="CK8" i="4"/>
  <c r="AN33" i="2"/>
  <c r="AN32" i="2"/>
  <c r="AN13" i="2"/>
  <c r="AN14" i="2"/>
  <c r="AN15" i="2"/>
  <c r="AN16" i="2"/>
  <c r="AN17" i="2"/>
  <c r="AN18" i="2"/>
  <c r="AN19" i="2"/>
  <c r="AN20" i="2"/>
  <c r="AN21" i="2"/>
  <c r="AN22" i="2"/>
  <c r="AN23" i="2"/>
  <c r="AN24" i="2"/>
  <c r="AN25" i="2"/>
  <c r="AN26" i="2"/>
  <c r="AN27" i="2"/>
  <c r="AN28" i="2"/>
  <c r="AN29" i="2"/>
  <c r="AN12" i="2"/>
  <c r="CI15" i="4" l="1"/>
  <c r="CI10" i="4"/>
  <c r="D7" i="16"/>
  <c r="I355" i="8"/>
  <c r="I357" i="8"/>
  <c r="G358" i="8"/>
  <c r="F7" i="16" s="1"/>
  <c r="CJ22" i="4"/>
  <c r="CJ18" i="4"/>
  <c r="CJ14" i="4"/>
  <c r="CJ10" i="4"/>
  <c r="CJ21" i="4"/>
  <c r="CJ17" i="4"/>
  <c r="P33" i="6"/>
  <c r="BG33" i="3"/>
  <c r="CJ24" i="4"/>
  <c r="CJ25" i="4"/>
  <c r="CJ19" i="4"/>
  <c r="CJ15" i="4"/>
  <c r="CJ11" i="4"/>
  <c r="P29" i="6"/>
  <c r="CH26" i="4"/>
  <c r="BF36" i="3" s="1"/>
  <c r="CJ23" i="4"/>
  <c r="CJ13" i="4"/>
  <c r="CJ20" i="4"/>
  <c r="CJ16" i="4"/>
  <c r="CJ12" i="4"/>
  <c r="CJ9" i="4"/>
  <c r="BF30" i="3"/>
  <c r="AN34" i="2"/>
  <c r="AT37" i="2"/>
  <c r="F178" i="8" s="1"/>
  <c r="F180" i="8" s="1"/>
  <c r="E9" i="16" s="1"/>
  <c r="CL26" i="4"/>
  <c r="CJ8" i="4"/>
  <c r="BF26" i="3"/>
  <c r="AN30" i="2"/>
  <c r="CM15" i="4" l="1"/>
  <c r="CK15" i="4" s="1"/>
  <c r="CM10" i="4"/>
  <c r="CK10" i="4" s="1"/>
  <c r="CI26" i="4"/>
  <c r="BG36" i="3" s="1"/>
  <c r="BG38" i="3" s="1"/>
  <c r="I358" i="8"/>
  <c r="BF33" i="3"/>
  <c r="P36" i="6"/>
  <c r="AN37" i="2"/>
  <c r="E178" i="8" s="1"/>
  <c r="E180" i="8" s="1"/>
  <c r="D9" i="16" s="1"/>
  <c r="CJ26" i="4"/>
  <c r="F196" i="8" l="1"/>
  <c r="F199" i="8" s="1"/>
  <c r="BG40" i="3"/>
  <c r="CK26" i="4"/>
  <c r="CM26" i="4"/>
  <c r="H180" i="8"/>
  <c r="G180" i="8"/>
  <c r="G178" i="8"/>
  <c r="I178" i="8" s="1"/>
  <c r="H178" i="8"/>
  <c r="I180" i="8" l="1"/>
  <c r="F9" i="16"/>
  <c r="D28" i="8"/>
  <c r="D29" i="8" s="1"/>
  <c r="AV29" i="3" l="1"/>
  <c r="AV28" i="3"/>
  <c r="AV9" i="3"/>
  <c r="AV10" i="3"/>
  <c r="AV11" i="3"/>
  <c r="AV12" i="3"/>
  <c r="AV13" i="3"/>
  <c r="AV14" i="3"/>
  <c r="AV15" i="3"/>
  <c r="AV16" i="3"/>
  <c r="AV17" i="3"/>
  <c r="AV18" i="3"/>
  <c r="AV19" i="3"/>
  <c r="AV20" i="3"/>
  <c r="AV21" i="3"/>
  <c r="AV22" i="3"/>
  <c r="AV23" i="3"/>
  <c r="AV24" i="3"/>
  <c r="AV25" i="3"/>
  <c r="AV8" i="3"/>
  <c r="D65" i="8"/>
  <c r="AW26" i="3"/>
  <c r="AW29" i="3" l="1"/>
  <c r="D66" i="8"/>
  <c r="F28" i="8"/>
  <c r="AV30" i="3"/>
  <c r="AV44" i="3" s="1"/>
  <c r="AV26" i="3"/>
  <c r="AV43" i="3" s="1"/>
  <c r="AW43" i="3"/>
  <c r="F29" i="8" l="1"/>
  <c r="AW30" i="3"/>
  <c r="AV33" i="3"/>
  <c r="AV38" i="3" s="1"/>
  <c r="E64" i="8" s="1"/>
  <c r="AW44" i="3" l="1"/>
  <c r="AW33" i="3"/>
  <c r="AW38" i="3" s="1"/>
  <c r="E65" i="8"/>
  <c r="G65" i="8" s="1"/>
  <c r="I65" i="8" s="1"/>
  <c r="G64" i="8"/>
  <c r="I64" i="8" s="1"/>
  <c r="D150" i="8"/>
  <c r="D151" i="8" s="1"/>
  <c r="BB9" i="4"/>
  <c r="BB10" i="4"/>
  <c r="BB11" i="4"/>
  <c r="BB12" i="4"/>
  <c r="BB13" i="4"/>
  <c r="BB14" i="4"/>
  <c r="BB15" i="4"/>
  <c r="BB16" i="4"/>
  <c r="BB17" i="4"/>
  <c r="BB18" i="4"/>
  <c r="BB19" i="4"/>
  <c r="BB20" i="4"/>
  <c r="BB21" i="4"/>
  <c r="BB22" i="4"/>
  <c r="BB23" i="4"/>
  <c r="BB24" i="4"/>
  <c r="BB25" i="4"/>
  <c r="BB8" i="4"/>
  <c r="AX9" i="4"/>
  <c r="AX10" i="4"/>
  <c r="AX11" i="4"/>
  <c r="AX12" i="4"/>
  <c r="AX13" i="4"/>
  <c r="AX14" i="4"/>
  <c r="AX15" i="4"/>
  <c r="AX16" i="4"/>
  <c r="AX17" i="4"/>
  <c r="AX18" i="4"/>
  <c r="AX19" i="4"/>
  <c r="AX20" i="4"/>
  <c r="AX21" i="4"/>
  <c r="AX22" i="4"/>
  <c r="AX23" i="4"/>
  <c r="AX24" i="4"/>
  <c r="AX25" i="4"/>
  <c r="AX8" i="4"/>
  <c r="BC26" i="4"/>
  <c r="AY26" i="4"/>
  <c r="AK36" i="3" s="1"/>
  <c r="BA25" i="4"/>
  <c r="BA24" i="4"/>
  <c r="BA23" i="4"/>
  <c r="BA22" i="4"/>
  <c r="BA21" i="4"/>
  <c r="BA20" i="4"/>
  <c r="BA19" i="4"/>
  <c r="BA18" i="4"/>
  <c r="BA17" i="4"/>
  <c r="BA16" i="4"/>
  <c r="BA15" i="4"/>
  <c r="BA14" i="4"/>
  <c r="BA13" i="4"/>
  <c r="BA12" i="4"/>
  <c r="BA11" i="4"/>
  <c r="BA10" i="4"/>
  <c r="BA9" i="4"/>
  <c r="BA8" i="4"/>
  <c r="AJ29" i="3"/>
  <c r="AJ28" i="3"/>
  <c r="AJ9" i="3"/>
  <c r="AJ10" i="3"/>
  <c r="AJ11" i="3"/>
  <c r="AJ12" i="3"/>
  <c r="AJ13" i="3"/>
  <c r="AJ14" i="3"/>
  <c r="AJ15" i="3"/>
  <c r="AJ16" i="3"/>
  <c r="AJ17" i="3"/>
  <c r="AJ18" i="3"/>
  <c r="AJ19" i="3"/>
  <c r="AJ20" i="3"/>
  <c r="AJ21" i="3"/>
  <c r="AJ22" i="3"/>
  <c r="AJ23" i="3"/>
  <c r="AJ24" i="3"/>
  <c r="AJ25" i="3"/>
  <c r="AJ8" i="3"/>
  <c r="AK30" i="3"/>
  <c r="AK26" i="3"/>
  <c r="BA26" i="4" l="1"/>
  <c r="AZ23" i="4"/>
  <c r="AZ19" i="4"/>
  <c r="AZ15" i="4"/>
  <c r="AZ11" i="4"/>
  <c r="AZ24" i="4"/>
  <c r="AZ20" i="4"/>
  <c r="AZ12" i="4"/>
  <c r="AZ25" i="4"/>
  <c r="AZ21" i="4"/>
  <c r="AZ17" i="4"/>
  <c r="AZ13" i="4"/>
  <c r="AZ9" i="4"/>
  <c r="AJ30" i="3"/>
  <c r="AZ10" i="4"/>
  <c r="AJ26" i="3"/>
  <c r="BB26" i="4"/>
  <c r="AZ22" i="4"/>
  <c r="AZ14" i="4"/>
  <c r="AW40" i="3"/>
  <c r="F64" i="8"/>
  <c r="E66" i="8"/>
  <c r="G66" i="8" s="1"/>
  <c r="I66" i="8" s="1"/>
  <c r="AK33" i="3"/>
  <c r="AK38" i="3" s="1"/>
  <c r="AZ18" i="4"/>
  <c r="AZ16" i="4"/>
  <c r="AX26" i="4"/>
  <c r="AJ36" i="3" s="1"/>
  <c r="AZ8" i="4"/>
  <c r="AJ33" i="3" l="1"/>
  <c r="F65" i="8"/>
  <c r="H65" i="8" s="1"/>
  <c r="H64" i="8"/>
  <c r="AK40" i="3"/>
  <c r="F149" i="8"/>
  <c r="AZ26" i="4"/>
  <c r="F66" i="8" l="1"/>
  <c r="H66" i="8" s="1"/>
  <c r="F150" i="8"/>
  <c r="F151" i="8" l="1"/>
  <c r="B28" i="7"/>
  <c r="E317" i="8"/>
  <c r="G3" i="2"/>
  <c r="OW33" i="2"/>
  <c r="GN31" i="18" s="1"/>
  <c r="OV33" i="2"/>
  <c r="AP33" i="2"/>
  <c r="OY33" i="2"/>
  <c r="HL31" i="18" s="1"/>
  <c r="HM31" i="18" s="1"/>
  <c r="OX33" i="2"/>
  <c r="AO33" i="2"/>
  <c r="OU33" i="2"/>
  <c r="HD31" i="18" s="1"/>
  <c r="OT33" i="2"/>
  <c r="NW33" i="2"/>
  <c r="GF31" i="18" s="1"/>
  <c r="NV33" i="2"/>
  <c r="AL33" i="2"/>
  <c r="OW32" i="2"/>
  <c r="GN30" i="18" s="1"/>
  <c r="OV32" i="2"/>
  <c r="AP32" i="2"/>
  <c r="OY32" i="2"/>
  <c r="HL30" i="18" s="1"/>
  <c r="OX32" i="2"/>
  <c r="AO32" i="2"/>
  <c r="OU32" i="2"/>
  <c r="OT32" i="2"/>
  <c r="AM32" i="2"/>
  <c r="NW32" i="2"/>
  <c r="GF30" i="18" s="1"/>
  <c r="GF32" i="18" s="1"/>
  <c r="NV32" i="2"/>
  <c r="AL32" i="2"/>
  <c r="OW29" i="2"/>
  <c r="OV29" i="2"/>
  <c r="AP29" i="2"/>
  <c r="OY29" i="2"/>
  <c r="OX29" i="2"/>
  <c r="AO29" i="2"/>
  <c r="OU29" i="2"/>
  <c r="OT29" i="2"/>
  <c r="AM29" i="2"/>
  <c r="NW29" i="2"/>
  <c r="GF27" i="18" s="1"/>
  <c r="NV29" i="2"/>
  <c r="AL29" i="2"/>
  <c r="OW28" i="2"/>
  <c r="OV28" i="2"/>
  <c r="AP28" i="2"/>
  <c r="AM28" i="2"/>
  <c r="NW28" i="2"/>
  <c r="GF26" i="18" s="1"/>
  <c r="NV28" i="2"/>
  <c r="AL28" i="2"/>
  <c r="OW27" i="2"/>
  <c r="OV27" i="2"/>
  <c r="AP27" i="2"/>
  <c r="OY27" i="2"/>
  <c r="OX27" i="2"/>
  <c r="AO27" i="2"/>
  <c r="OU27" i="2"/>
  <c r="OT27" i="2"/>
  <c r="NW27" i="2"/>
  <c r="GF25" i="18" s="1"/>
  <c r="NV27" i="2"/>
  <c r="AL27" i="2"/>
  <c r="OW26" i="2"/>
  <c r="OV26" i="2"/>
  <c r="AP26" i="2"/>
  <c r="OY26" i="2"/>
  <c r="OX26" i="2"/>
  <c r="AO26" i="2"/>
  <c r="OU26" i="2"/>
  <c r="OT26" i="2"/>
  <c r="AM26" i="2"/>
  <c r="NW26" i="2"/>
  <c r="GF24" i="18" s="1"/>
  <c r="NV26" i="2"/>
  <c r="AL26" i="2"/>
  <c r="OW25" i="2"/>
  <c r="OV25" i="2"/>
  <c r="AP25" i="2"/>
  <c r="OY25" i="2"/>
  <c r="OX25" i="2"/>
  <c r="AO25" i="2"/>
  <c r="OU25" i="2"/>
  <c r="OT25" i="2"/>
  <c r="AM25" i="2"/>
  <c r="NW25" i="2"/>
  <c r="GF23" i="18" s="1"/>
  <c r="NV25" i="2"/>
  <c r="AL25" i="2"/>
  <c r="OW24" i="2"/>
  <c r="OV24" i="2"/>
  <c r="AP24" i="2"/>
  <c r="OY24" i="2"/>
  <c r="OX24" i="2"/>
  <c r="AO24" i="2"/>
  <c r="OU24" i="2"/>
  <c r="OT24" i="2"/>
  <c r="AM24" i="2"/>
  <c r="NW24" i="2"/>
  <c r="GF22" i="18" s="1"/>
  <c r="NV24" i="2"/>
  <c r="AL24" i="2"/>
  <c r="OW23" i="2"/>
  <c r="OV23" i="2"/>
  <c r="AP23" i="2"/>
  <c r="OY23" i="2"/>
  <c r="OX23" i="2"/>
  <c r="AO23" i="2"/>
  <c r="OU23" i="2"/>
  <c r="OT23" i="2"/>
  <c r="AM23" i="2"/>
  <c r="NW23" i="2"/>
  <c r="GF21" i="18" s="1"/>
  <c r="NV23" i="2"/>
  <c r="AL23" i="2"/>
  <c r="OW22" i="2"/>
  <c r="OV22" i="2"/>
  <c r="AP22" i="2"/>
  <c r="OY22" i="2"/>
  <c r="OX22" i="2"/>
  <c r="AO22" i="2"/>
  <c r="OU22" i="2"/>
  <c r="OT22" i="2"/>
  <c r="NW22" i="2"/>
  <c r="GF20" i="18" s="1"/>
  <c r="NV22" i="2"/>
  <c r="AL22" i="2"/>
  <c r="OW21" i="2"/>
  <c r="OV21" i="2"/>
  <c r="AP21" i="2"/>
  <c r="OY21" i="2"/>
  <c r="OX21" i="2"/>
  <c r="AO21" i="2"/>
  <c r="OU21" i="2"/>
  <c r="OT21" i="2"/>
  <c r="AM21" i="2"/>
  <c r="NW21" i="2"/>
  <c r="GF19" i="18" s="1"/>
  <c r="NV21" i="2"/>
  <c r="AL21" i="2"/>
  <c r="OW20" i="2"/>
  <c r="OV20" i="2"/>
  <c r="AP20" i="2"/>
  <c r="OY20" i="2"/>
  <c r="OX20" i="2"/>
  <c r="AO20" i="2"/>
  <c r="OU20" i="2"/>
  <c r="OT20" i="2"/>
  <c r="AM20" i="2"/>
  <c r="NW20" i="2"/>
  <c r="GF18" i="18" s="1"/>
  <c r="NV20" i="2"/>
  <c r="AL20" i="2"/>
  <c r="OW19" i="2"/>
  <c r="OV19" i="2"/>
  <c r="AP19" i="2"/>
  <c r="OY19" i="2"/>
  <c r="OX19" i="2"/>
  <c r="AO19" i="2"/>
  <c r="AM19" i="2"/>
  <c r="NW19" i="2"/>
  <c r="GF17" i="18" s="1"/>
  <c r="NV19" i="2"/>
  <c r="AL19" i="2"/>
  <c r="OW18" i="2"/>
  <c r="OV18" i="2"/>
  <c r="AP18" i="2"/>
  <c r="OY18" i="2"/>
  <c r="OX18" i="2"/>
  <c r="AO18" i="2"/>
  <c r="OU18" i="2"/>
  <c r="OT18" i="2"/>
  <c r="AM18" i="2"/>
  <c r="NW18" i="2"/>
  <c r="GF16" i="18" s="1"/>
  <c r="NV18" i="2"/>
  <c r="AL18" i="2"/>
  <c r="OW17" i="2"/>
  <c r="OV17" i="2"/>
  <c r="AP17" i="2"/>
  <c r="AO17" i="2"/>
  <c r="OU17" i="2"/>
  <c r="OT17" i="2"/>
  <c r="AM17" i="2"/>
  <c r="NW17" i="2"/>
  <c r="GF15" i="18" s="1"/>
  <c r="NV17" i="2"/>
  <c r="AL17" i="2"/>
  <c r="OW16" i="2"/>
  <c r="OV16" i="2"/>
  <c r="AP16" i="2"/>
  <c r="OY16" i="2"/>
  <c r="OX16" i="2"/>
  <c r="AO16" i="2"/>
  <c r="OU16" i="2"/>
  <c r="OT16" i="2"/>
  <c r="AM16" i="2"/>
  <c r="NW16" i="2"/>
  <c r="GF14" i="18" s="1"/>
  <c r="NV16" i="2"/>
  <c r="AL16" i="2"/>
  <c r="OW15" i="2"/>
  <c r="OV15" i="2"/>
  <c r="AP15" i="2"/>
  <c r="OY15" i="2"/>
  <c r="OX15" i="2"/>
  <c r="AO15" i="2"/>
  <c r="OU15" i="2"/>
  <c r="OT15" i="2"/>
  <c r="NW15" i="2"/>
  <c r="GF13" i="18" s="1"/>
  <c r="NV15" i="2"/>
  <c r="AL15" i="2"/>
  <c r="OW14" i="2"/>
  <c r="OV14" i="2"/>
  <c r="AP14" i="2"/>
  <c r="OY14" i="2"/>
  <c r="OX14" i="2"/>
  <c r="AO14" i="2"/>
  <c r="OU14" i="2"/>
  <c r="OT14" i="2"/>
  <c r="AM14" i="2"/>
  <c r="NW14" i="2"/>
  <c r="GF12" i="18" s="1"/>
  <c r="NV14" i="2"/>
  <c r="AL14" i="2"/>
  <c r="OW13" i="2"/>
  <c r="OV13" i="2"/>
  <c r="AP13" i="2"/>
  <c r="OY13" i="2"/>
  <c r="OX13" i="2"/>
  <c r="AO13" i="2"/>
  <c r="OU13" i="2"/>
  <c r="OT13" i="2"/>
  <c r="AM13" i="2"/>
  <c r="NW13" i="2"/>
  <c r="GF11" i="18" s="1"/>
  <c r="NV13" i="2"/>
  <c r="AL13" i="2"/>
  <c r="OW12" i="2"/>
  <c r="OV12" i="2"/>
  <c r="AP12" i="2"/>
  <c r="OY12" i="2"/>
  <c r="OX12" i="2"/>
  <c r="AO12" i="2"/>
  <c r="OU12" i="2"/>
  <c r="OT12" i="2"/>
  <c r="AM12" i="2"/>
  <c r="NW12" i="2"/>
  <c r="GF10" i="18" s="1"/>
  <c r="NV12" i="2"/>
  <c r="AL12" i="2"/>
  <c r="PM29" i="2"/>
  <c r="PL29" i="2"/>
  <c r="BB29" i="2"/>
  <c r="PO29" i="2"/>
  <c r="PN29" i="2"/>
  <c r="BA29" i="2"/>
  <c r="PK29" i="2"/>
  <c r="HF27" i="18" s="1"/>
  <c r="PJ29" i="2"/>
  <c r="PI29" i="2"/>
  <c r="GV27" i="18" s="1"/>
  <c r="GX27" i="18" s="1"/>
  <c r="PH29" i="2"/>
  <c r="AY29" i="2"/>
  <c r="AX29" i="2"/>
  <c r="PM28" i="2"/>
  <c r="PL28" i="2"/>
  <c r="BB28" i="2"/>
  <c r="PO28" i="2"/>
  <c r="PN28" i="2"/>
  <c r="BA28" i="2"/>
  <c r="PK28" i="2"/>
  <c r="HF26" i="18" s="1"/>
  <c r="PJ28" i="2"/>
  <c r="PI28" i="2"/>
  <c r="GV26" i="18" s="1"/>
  <c r="GX26" i="18" s="1"/>
  <c r="PH28" i="2"/>
  <c r="AY28" i="2"/>
  <c r="AX28" i="2"/>
  <c r="PM27" i="2"/>
  <c r="PL27" i="2"/>
  <c r="BB27" i="2"/>
  <c r="PO27" i="2"/>
  <c r="PN27" i="2"/>
  <c r="BA27" i="2"/>
  <c r="PK27" i="2"/>
  <c r="HF25" i="18" s="1"/>
  <c r="PJ27" i="2"/>
  <c r="PI27" i="2"/>
  <c r="GV25" i="18" s="1"/>
  <c r="GX25" i="18" s="1"/>
  <c r="PH27" i="2"/>
  <c r="AY27" i="2"/>
  <c r="AX27" i="2"/>
  <c r="PM26" i="2"/>
  <c r="PL26" i="2"/>
  <c r="BB26" i="2"/>
  <c r="PO26" i="2"/>
  <c r="PN26" i="2"/>
  <c r="BA26" i="2"/>
  <c r="PK26" i="2"/>
  <c r="HF24" i="18" s="1"/>
  <c r="PJ26" i="2"/>
  <c r="PI26" i="2"/>
  <c r="GV24" i="18" s="1"/>
  <c r="GX24" i="18" s="1"/>
  <c r="PH26" i="2"/>
  <c r="AY26" i="2"/>
  <c r="AX26" i="2"/>
  <c r="PM25" i="2"/>
  <c r="PL25" i="2"/>
  <c r="BB25" i="2"/>
  <c r="PO25" i="2"/>
  <c r="PN25" i="2"/>
  <c r="BA25" i="2"/>
  <c r="PK25" i="2"/>
  <c r="HF23" i="18" s="1"/>
  <c r="PJ25" i="2"/>
  <c r="PI25" i="2"/>
  <c r="GV23" i="18" s="1"/>
  <c r="GX23" i="18" s="1"/>
  <c r="PH25" i="2"/>
  <c r="AY25" i="2"/>
  <c r="AX25" i="2"/>
  <c r="PM24" i="2"/>
  <c r="PL24" i="2"/>
  <c r="BB24" i="2"/>
  <c r="PO24" i="2"/>
  <c r="PN24" i="2"/>
  <c r="BA24" i="2"/>
  <c r="PK24" i="2"/>
  <c r="HF22" i="18" s="1"/>
  <c r="PJ24" i="2"/>
  <c r="PI24" i="2"/>
  <c r="GV22" i="18" s="1"/>
  <c r="GX22" i="18" s="1"/>
  <c r="PH24" i="2"/>
  <c r="AY24" i="2"/>
  <c r="PM23" i="2"/>
  <c r="PL23" i="2"/>
  <c r="BB23" i="2"/>
  <c r="PO23" i="2"/>
  <c r="PN23" i="2"/>
  <c r="BA23" i="2"/>
  <c r="PK23" i="2"/>
  <c r="HF21" i="18" s="1"/>
  <c r="PJ23" i="2"/>
  <c r="PI23" i="2"/>
  <c r="GV21" i="18" s="1"/>
  <c r="GX21" i="18" s="1"/>
  <c r="PH23" i="2"/>
  <c r="AY23" i="2"/>
  <c r="AX23" i="2"/>
  <c r="PM22" i="2"/>
  <c r="PL22" i="2"/>
  <c r="BB22" i="2"/>
  <c r="PO22" i="2"/>
  <c r="PN22" i="2"/>
  <c r="BA22" i="2"/>
  <c r="PK22" i="2"/>
  <c r="HF20" i="18" s="1"/>
  <c r="PJ22" i="2"/>
  <c r="PI22" i="2"/>
  <c r="GV20" i="18" s="1"/>
  <c r="GX20" i="18" s="1"/>
  <c r="PH22" i="2"/>
  <c r="AY22" i="2"/>
  <c r="AX22" i="2"/>
  <c r="PM21" i="2"/>
  <c r="PL21" i="2"/>
  <c r="BB21" i="2"/>
  <c r="PO21" i="2"/>
  <c r="PN21" i="2"/>
  <c r="BA21" i="2"/>
  <c r="PK21" i="2"/>
  <c r="HF19" i="18" s="1"/>
  <c r="PJ21" i="2"/>
  <c r="PI21" i="2"/>
  <c r="GV19" i="18" s="1"/>
  <c r="GX19" i="18" s="1"/>
  <c r="PH21" i="2"/>
  <c r="AY21" i="2"/>
  <c r="AX21" i="2"/>
  <c r="PM20" i="2"/>
  <c r="PL20" i="2"/>
  <c r="BB20" i="2"/>
  <c r="PO20" i="2"/>
  <c r="PN20" i="2"/>
  <c r="BA20" i="2"/>
  <c r="PK20" i="2"/>
  <c r="HF18" i="18" s="1"/>
  <c r="PJ20" i="2"/>
  <c r="PI20" i="2"/>
  <c r="GV18" i="18" s="1"/>
  <c r="GX18" i="18" s="1"/>
  <c r="PH20" i="2"/>
  <c r="AY20" i="2"/>
  <c r="AX20" i="2"/>
  <c r="PM19" i="2"/>
  <c r="PL19" i="2"/>
  <c r="BB19" i="2"/>
  <c r="PO19" i="2"/>
  <c r="PN19" i="2"/>
  <c r="BA19" i="2"/>
  <c r="PK19" i="2"/>
  <c r="HF17" i="18" s="1"/>
  <c r="PJ19" i="2"/>
  <c r="PI19" i="2"/>
  <c r="GV17" i="18" s="1"/>
  <c r="GX17" i="18" s="1"/>
  <c r="PH19" i="2"/>
  <c r="AY19" i="2"/>
  <c r="AX19" i="2"/>
  <c r="PM18" i="2"/>
  <c r="PL18" i="2"/>
  <c r="BB18" i="2"/>
  <c r="PO18" i="2"/>
  <c r="PN18" i="2"/>
  <c r="BA18" i="2"/>
  <c r="PK18" i="2"/>
  <c r="HF16" i="18" s="1"/>
  <c r="PJ18" i="2"/>
  <c r="PI18" i="2"/>
  <c r="GV16" i="18" s="1"/>
  <c r="GX16" i="18" s="1"/>
  <c r="PH18" i="2"/>
  <c r="AY18" i="2"/>
  <c r="AX18" i="2"/>
  <c r="PM17" i="2"/>
  <c r="PL17" i="2"/>
  <c r="BB17" i="2"/>
  <c r="PO17" i="2"/>
  <c r="PN17" i="2"/>
  <c r="BA17" i="2"/>
  <c r="PK17" i="2"/>
  <c r="HF15" i="18" s="1"/>
  <c r="PJ17" i="2"/>
  <c r="PI17" i="2"/>
  <c r="GV15" i="18" s="1"/>
  <c r="GX15" i="18" s="1"/>
  <c r="PH17" i="2"/>
  <c r="AY17" i="2"/>
  <c r="AX17" i="2"/>
  <c r="PM16" i="2"/>
  <c r="PL16" i="2"/>
  <c r="BB16" i="2"/>
  <c r="PO16" i="2"/>
  <c r="PN16" i="2"/>
  <c r="BA16" i="2"/>
  <c r="PK16" i="2"/>
  <c r="HF14" i="18" s="1"/>
  <c r="PJ16" i="2"/>
  <c r="PI16" i="2"/>
  <c r="GV14" i="18" s="1"/>
  <c r="GX14" i="18" s="1"/>
  <c r="PH16" i="2"/>
  <c r="AY16" i="2"/>
  <c r="AX16" i="2"/>
  <c r="PM15" i="2"/>
  <c r="PL15" i="2"/>
  <c r="BB15" i="2"/>
  <c r="PO15" i="2"/>
  <c r="PN15" i="2"/>
  <c r="BA15" i="2"/>
  <c r="PI15" i="2"/>
  <c r="GV13" i="18" s="1"/>
  <c r="GX13" i="18" s="1"/>
  <c r="PH15" i="2"/>
  <c r="AY15" i="2"/>
  <c r="AX15" i="2"/>
  <c r="PM14" i="2"/>
  <c r="PL14" i="2"/>
  <c r="BB14" i="2"/>
  <c r="PO14" i="2"/>
  <c r="PN14" i="2"/>
  <c r="BA14" i="2"/>
  <c r="PK14" i="2"/>
  <c r="HF12" i="18" s="1"/>
  <c r="PJ14" i="2"/>
  <c r="PI14" i="2"/>
  <c r="GV12" i="18" s="1"/>
  <c r="GX12" i="18" s="1"/>
  <c r="PH14" i="2"/>
  <c r="AY14" i="2"/>
  <c r="AX14" i="2"/>
  <c r="PM13" i="2"/>
  <c r="PL13" i="2"/>
  <c r="BB13" i="2"/>
  <c r="PO13" i="2"/>
  <c r="PN13" i="2"/>
  <c r="BA13" i="2"/>
  <c r="PK13" i="2"/>
  <c r="HF11" i="18" s="1"/>
  <c r="PJ13" i="2"/>
  <c r="PI13" i="2"/>
  <c r="GV11" i="18" s="1"/>
  <c r="GX11" i="18" s="1"/>
  <c r="PH13" i="2"/>
  <c r="AY13" i="2"/>
  <c r="AX13" i="2"/>
  <c r="PM12" i="2"/>
  <c r="PL12" i="2"/>
  <c r="BB12" i="2"/>
  <c r="PO12" i="2"/>
  <c r="PN12" i="2"/>
  <c r="BA12" i="2"/>
  <c r="PK12" i="2"/>
  <c r="HF10" i="18" s="1"/>
  <c r="PJ12" i="2"/>
  <c r="PI12" i="2"/>
  <c r="GV10" i="18" s="1"/>
  <c r="PH12" i="2"/>
  <c r="AY12" i="2"/>
  <c r="AX12" i="2"/>
  <c r="HD30" i="18" l="1"/>
  <c r="HD32" i="18" s="1"/>
  <c r="E183" i="8"/>
  <c r="H181" i="8"/>
  <c r="G181" i="8"/>
  <c r="I181" i="8" s="1"/>
  <c r="AS18" i="2"/>
  <c r="U14" i="4" s="1"/>
  <c r="AS21" i="2"/>
  <c r="U17" i="4" s="1"/>
  <c r="GF28" i="18"/>
  <c r="GF35" i="18" s="1"/>
  <c r="GF36" i="18" s="1"/>
  <c r="GN32" i="18"/>
  <c r="GX10" i="18"/>
  <c r="GX28" i="18" s="1"/>
  <c r="GX35" i="18" s="1"/>
  <c r="GV28" i="18"/>
  <c r="GV35" i="18" s="1"/>
  <c r="HE20" i="18"/>
  <c r="HD20" i="18"/>
  <c r="HE21" i="18"/>
  <c r="HD21" i="18"/>
  <c r="HD22" i="18"/>
  <c r="HE22" i="18"/>
  <c r="HE23" i="18"/>
  <c r="HD23" i="18"/>
  <c r="HE24" i="18"/>
  <c r="HD24" i="18"/>
  <c r="HL10" i="18"/>
  <c r="HL11" i="18"/>
  <c r="HM11" i="18" s="1"/>
  <c r="HL12" i="18"/>
  <c r="HM12" i="18" s="1"/>
  <c r="HL13" i="18"/>
  <c r="HM13" i="18" s="1"/>
  <c r="HL14" i="18"/>
  <c r="HM14" i="18" s="1"/>
  <c r="HL16" i="18"/>
  <c r="HM16" i="18" s="1"/>
  <c r="HL17" i="18"/>
  <c r="HM17" i="18" s="1"/>
  <c r="HL18" i="18"/>
  <c r="HM18" i="18" s="1"/>
  <c r="HL19" i="18"/>
  <c r="HM19" i="18" s="1"/>
  <c r="HE25" i="18"/>
  <c r="HD25" i="18"/>
  <c r="HE27" i="18"/>
  <c r="HD27" i="18"/>
  <c r="GN10" i="18"/>
  <c r="GN11" i="18"/>
  <c r="GP11" i="18" s="1"/>
  <c r="GN12" i="18"/>
  <c r="GP12" i="18" s="1"/>
  <c r="GN13" i="18"/>
  <c r="GP13" i="18" s="1"/>
  <c r="GN14" i="18"/>
  <c r="GP14" i="18" s="1"/>
  <c r="GN15" i="18"/>
  <c r="GP15" i="18" s="1"/>
  <c r="GN16" i="18"/>
  <c r="GP16" i="18" s="1"/>
  <c r="GN17" i="18"/>
  <c r="GP17" i="18" s="1"/>
  <c r="GN18" i="18"/>
  <c r="GP18" i="18" s="1"/>
  <c r="GN19" i="18"/>
  <c r="GP19" i="18" s="1"/>
  <c r="HL20" i="18"/>
  <c r="HM20" i="18" s="1"/>
  <c r="HL21" i="18"/>
  <c r="HM21" i="18" s="1"/>
  <c r="HL22" i="18"/>
  <c r="HM22" i="18" s="1"/>
  <c r="HL23" i="18"/>
  <c r="HM23" i="18" s="1"/>
  <c r="HL24" i="18"/>
  <c r="HM24" i="18" s="1"/>
  <c r="HM30" i="18"/>
  <c r="HM32" i="18" s="1"/>
  <c r="HL32" i="18"/>
  <c r="GN20" i="18"/>
  <c r="GP20" i="18" s="1"/>
  <c r="GN21" i="18"/>
  <c r="GP21" i="18" s="1"/>
  <c r="GN22" i="18"/>
  <c r="GP22" i="18" s="1"/>
  <c r="GN23" i="18"/>
  <c r="GP23" i="18" s="1"/>
  <c r="GN24" i="18"/>
  <c r="GP24" i="18" s="1"/>
  <c r="HL25" i="18"/>
  <c r="HM25" i="18" s="1"/>
  <c r="HL27" i="18"/>
  <c r="HM27" i="18" s="1"/>
  <c r="HE10" i="18"/>
  <c r="HD10" i="18"/>
  <c r="HE11" i="18"/>
  <c r="HD11" i="18"/>
  <c r="HE12" i="18"/>
  <c r="HD12" i="18"/>
  <c r="HE13" i="18"/>
  <c r="HE14" i="18"/>
  <c r="HD14" i="18"/>
  <c r="HE15" i="18"/>
  <c r="HD15" i="18"/>
  <c r="HD16" i="18"/>
  <c r="HE16" i="18"/>
  <c r="HE18" i="18"/>
  <c r="HD18" i="18"/>
  <c r="HE19" i="18"/>
  <c r="HD19" i="18"/>
  <c r="GN25" i="18"/>
  <c r="GP25" i="18" s="1"/>
  <c r="GN26" i="18"/>
  <c r="GP26" i="18" s="1"/>
  <c r="GN27" i="18"/>
  <c r="GP27" i="18" s="1"/>
  <c r="OS33" i="2"/>
  <c r="NU33" i="2"/>
  <c r="NU12" i="2"/>
  <c r="NU13" i="2"/>
  <c r="NU14" i="2"/>
  <c r="NU15" i="2"/>
  <c r="AW23" i="2"/>
  <c r="AW17" i="2"/>
  <c r="AW18" i="2"/>
  <c r="AW19" i="2"/>
  <c r="AW20" i="2"/>
  <c r="AW21" i="2"/>
  <c r="AW22" i="2"/>
  <c r="NU16" i="2"/>
  <c r="NU17" i="2"/>
  <c r="NU18" i="2"/>
  <c r="AW12" i="2"/>
  <c r="AW13" i="2"/>
  <c r="AW14" i="2"/>
  <c r="AW15" i="2"/>
  <c r="AW16" i="2"/>
  <c r="AW25" i="2"/>
  <c r="AW26" i="2"/>
  <c r="AW27" i="2"/>
  <c r="NU23" i="2"/>
  <c r="NU24" i="2"/>
  <c r="NU25" i="2"/>
  <c r="NU26" i="2"/>
  <c r="NU27" i="2"/>
  <c r="NU28" i="2"/>
  <c r="NU29" i="2"/>
  <c r="NU32" i="2"/>
  <c r="AK23" i="2"/>
  <c r="AK24" i="2"/>
  <c r="AK25" i="2"/>
  <c r="AK26" i="2"/>
  <c r="AK29" i="2"/>
  <c r="AK32" i="2"/>
  <c r="NU19" i="2"/>
  <c r="NU20" i="2"/>
  <c r="NU21" i="2"/>
  <c r="NU22" i="2"/>
  <c r="AW28" i="2"/>
  <c r="AW29" i="2"/>
  <c r="AK12" i="2"/>
  <c r="AK13" i="2"/>
  <c r="AK14" i="2"/>
  <c r="AK16" i="2"/>
  <c r="AK17" i="2"/>
  <c r="AK18" i="2"/>
  <c r="AK19" i="2"/>
  <c r="AK20" i="2"/>
  <c r="AK21" i="2"/>
  <c r="OS12" i="2"/>
  <c r="OS13" i="2"/>
  <c r="OS14" i="2"/>
  <c r="OS15" i="2"/>
  <c r="OS16" i="2"/>
  <c r="OS18" i="2"/>
  <c r="OS20" i="2"/>
  <c r="OS21" i="2"/>
  <c r="OS22" i="2"/>
  <c r="OS23" i="2"/>
  <c r="OS24" i="2"/>
  <c r="OS25" i="2"/>
  <c r="OS26" i="2"/>
  <c r="OS27" i="2"/>
  <c r="OS29" i="2"/>
  <c r="OS32" i="2"/>
  <c r="QW29" i="2"/>
  <c r="QV29" i="2"/>
  <c r="BZ29" i="2"/>
  <c r="QY29" i="2"/>
  <c r="QG29" i="2" s="1"/>
  <c r="QX29" i="2"/>
  <c r="QF29" i="2" s="1"/>
  <c r="BY29" i="2"/>
  <c r="QU29" i="2"/>
  <c r="QC29" i="2" s="1"/>
  <c r="QT29" i="2"/>
  <c r="QB29" i="2" s="1"/>
  <c r="QS29" i="2"/>
  <c r="QA29" i="2" s="1"/>
  <c r="QR29" i="2"/>
  <c r="BW29" i="2"/>
  <c r="BV29" i="2"/>
  <c r="QW28" i="2"/>
  <c r="QV28" i="2"/>
  <c r="BZ28" i="2"/>
  <c r="QY28" i="2"/>
  <c r="QG28" i="2" s="1"/>
  <c r="QX28" i="2"/>
  <c r="QF28" i="2" s="1"/>
  <c r="BY28" i="2"/>
  <c r="QU28" i="2"/>
  <c r="QC28" i="2" s="1"/>
  <c r="QT28" i="2"/>
  <c r="QB28" i="2" s="1"/>
  <c r="QS28" i="2"/>
  <c r="QA28" i="2" s="1"/>
  <c r="QR28" i="2"/>
  <c r="PZ28" i="2" s="1"/>
  <c r="BW28" i="2"/>
  <c r="BV28" i="2"/>
  <c r="QW27" i="2"/>
  <c r="QV27" i="2"/>
  <c r="BZ27" i="2"/>
  <c r="QY27" i="2"/>
  <c r="QG27" i="2" s="1"/>
  <c r="QX27" i="2"/>
  <c r="QF27" i="2" s="1"/>
  <c r="BY27" i="2"/>
  <c r="QU27" i="2"/>
  <c r="QC27" i="2" s="1"/>
  <c r="QT27" i="2"/>
  <c r="QB27" i="2" s="1"/>
  <c r="QS27" i="2"/>
  <c r="QA27" i="2" s="1"/>
  <c r="QR27" i="2"/>
  <c r="BW27" i="2"/>
  <c r="BV27" i="2"/>
  <c r="QW26" i="2"/>
  <c r="QV26" i="2"/>
  <c r="BZ26" i="2"/>
  <c r="QY26" i="2"/>
  <c r="QG26" i="2" s="1"/>
  <c r="QX26" i="2"/>
  <c r="QF26" i="2" s="1"/>
  <c r="BY26" i="2"/>
  <c r="QU26" i="2"/>
  <c r="QC26" i="2" s="1"/>
  <c r="QT26" i="2"/>
  <c r="QB26" i="2" s="1"/>
  <c r="QS26" i="2"/>
  <c r="QA26" i="2" s="1"/>
  <c r="QR26" i="2"/>
  <c r="BW26" i="2"/>
  <c r="BV26" i="2"/>
  <c r="QW25" i="2"/>
  <c r="QV25" i="2"/>
  <c r="BZ25" i="2"/>
  <c r="QY25" i="2"/>
  <c r="QG25" i="2" s="1"/>
  <c r="QX25" i="2"/>
  <c r="QF25" i="2" s="1"/>
  <c r="BY25" i="2"/>
  <c r="QU25" i="2"/>
  <c r="QC25" i="2" s="1"/>
  <c r="QT25" i="2"/>
  <c r="QB25" i="2" s="1"/>
  <c r="QS25" i="2"/>
  <c r="QA25" i="2" s="1"/>
  <c r="QR25" i="2"/>
  <c r="BW25" i="2"/>
  <c r="BV25" i="2"/>
  <c r="QW24" i="2"/>
  <c r="QV24" i="2"/>
  <c r="BZ24" i="2"/>
  <c r="QY24" i="2"/>
  <c r="QG24" i="2" s="1"/>
  <c r="QX24" i="2"/>
  <c r="QF24" i="2" s="1"/>
  <c r="BY24" i="2"/>
  <c r="QU24" i="2"/>
  <c r="QC24" i="2" s="1"/>
  <c r="QT24" i="2"/>
  <c r="QB24" i="2" s="1"/>
  <c r="QS24" i="2"/>
  <c r="QA24" i="2" s="1"/>
  <c r="QR24" i="2"/>
  <c r="PZ24" i="2" s="1"/>
  <c r="BW24" i="2"/>
  <c r="BV24" i="2"/>
  <c r="QW23" i="2"/>
  <c r="QV23" i="2"/>
  <c r="BZ23" i="2"/>
  <c r="QY23" i="2"/>
  <c r="QG23" i="2" s="1"/>
  <c r="QX23" i="2"/>
  <c r="QF23" i="2" s="1"/>
  <c r="BY23" i="2"/>
  <c r="QU23" i="2"/>
  <c r="QC23" i="2" s="1"/>
  <c r="QT23" i="2"/>
  <c r="QB23" i="2" s="1"/>
  <c r="QS23" i="2"/>
  <c r="QA23" i="2" s="1"/>
  <c r="QR23" i="2"/>
  <c r="BW23" i="2"/>
  <c r="BV23" i="2"/>
  <c r="QW22" i="2"/>
  <c r="QV22" i="2"/>
  <c r="BZ22" i="2"/>
  <c r="QY22" i="2"/>
  <c r="QG22" i="2" s="1"/>
  <c r="QX22" i="2"/>
  <c r="QF22" i="2" s="1"/>
  <c r="BY22" i="2"/>
  <c r="QU22" i="2"/>
  <c r="QC22" i="2" s="1"/>
  <c r="QT22" i="2"/>
  <c r="QB22" i="2" s="1"/>
  <c r="QS22" i="2"/>
  <c r="QA22" i="2" s="1"/>
  <c r="QR22" i="2"/>
  <c r="BW22" i="2"/>
  <c r="BV22" i="2"/>
  <c r="QW21" i="2"/>
  <c r="QV21" i="2"/>
  <c r="BZ21" i="2"/>
  <c r="QY21" i="2"/>
  <c r="QG21" i="2" s="1"/>
  <c r="QX21" i="2"/>
  <c r="QF21" i="2" s="1"/>
  <c r="BY21" i="2"/>
  <c r="QU21" i="2"/>
  <c r="QC21" i="2" s="1"/>
  <c r="QT21" i="2"/>
  <c r="QB21" i="2" s="1"/>
  <c r="QS21" i="2"/>
  <c r="QA21" i="2" s="1"/>
  <c r="QR21" i="2"/>
  <c r="BW21" i="2"/>
  <c r="BV21" i="2"/>
  <c r="QW20" i="2"/>
  <c r="QV20" i="2"/>
  <c r="BZ20" i="2"/>
  <c r="QY20" i="2"/>
  <c r="QG20" i="2" s="1"/>
  <c r="QX20" i="2"/>
  <c r="QF20" i="2" s="1"/>
  <c r="BY20" i="2"/>
  <c r="QU20" i="2"/>
  <c r="QC20" i="2" s="1"/>
  <c r="QT20" i="2"/>
  <c r="QB20" i="2" s="1"/>
  <c r="QS20" i="2"/>
  <c r="QA20" i="2" s="1"/>
  <c r="QR20" i="2"/>
  <c r="PZ20" i="2" s="1"/>
  <c r="BW20" i="2"/>
  <c r="BV20" i="2"/>
  <c r="QW19" i="2"/>
  <c r="QV19" i="2"/>
  <c r="BZ19" i="2"/>
  <c r="QY19" i="2"/>
  <c r="QG19" i="2" s="1"/>
  <c r="QX19" i="2"/>
  <c r="QF19" i="2" s="1"/>
  <c r="BY19" i="2"/>
  <c r="QU19" i="2"/>
  <c r="QC19" i="2" s="1"/>
  <c r="QT19" i="2"/>
  <c r="QB19" i="2" s="1"/>
  <c r="QS19" i="2"/>
  <c r="QA19" i="2" s="1"/>
  <c r="QR19" i="2"/>
  <c r="BW19" i="2"/>
  <c r="BV19" i="2"/>
  <c r="QW18" i="2"/>
  <c r="QV18" i="2"/>
  <c r="BZ18" i="2"/>
  <c r="QY18" i="2"/>
  <c r="QG18" i="2" s="1"/>
  <c r="QX18" i="2"/>
  <c r="QF18" i="2" s="1"/>
  <c r="BY18" i="2"/>
  <c r="QU18" i="2"/>
  <c r="QC18" i="2" s="1"/>
  <c r="QT18" i="2"/>
  <c r="QB18" i="2" s="1"/>
  <c r="QS18" i="2"/>
  <c r="QA18" i="2" s="1"/>
  <c r="QR18" i="2"/>
  <c r="BW18" i="2"/>
  <c r="BV18" i="2"/>
  <c r="QW17" i="2"/>
  <c r="QV17" i="2"/>
  <c r="BZ17" i="2"/>
  <c r="QY17" i="2"/>
  <c r="QG17" i="2" s="1"/>
  <c r="QX17" i="2"/>
  <c r="QF17" i="2" s="1"/>
  <c r="BY17" i="2"/>
  <c r="QU17" i="2"/>
  <c r="QC17" i="2" s="1"/>
  <c r="QT17" i="2"/>
  <c r="QB17" i="2" s="1"/>
  <c r="QS17" i="2"/>
  <c r="QA17" i="2" s="1"/>
  <c r="QR17" i="2"/>
  <c r="BW17" i="2"/>
  <c r="BV17" i="2"/>
  <c r="QW16" i="2"/>
  <c r="QV16" i="2"/>
  <c r="BZ16" i="2"/>
  <c r="QY16" i="2"/>
  <c r="QG16" i="2" s="1"/>
  <c r="QX16" i="2"/>
  <c r="QF16" i="2" s="1"/>
  <c r="BY16" i="2"/>
  <c r="QU16" i="2"/>
  <c r="QC16" i="2" s="1"/>
  <c r="QT16" i="2"/>
  <c r="QB16" i="2" s="1"/>
  <c r="QS16" i="2"/>
  <c r="QA16" i="2" s="1"/>
  <c r="QR16" i="2"/>
  <c r="PZ16" i="2" s="1"/>
  <c r="BW16" i="2"/>
  <c r="BV16" i="2"/>
  <c r="QW15" i="2"/>
  <c r="QV15" i="2"/>
  <c r="BZ15" i="2"/>
  <c r="QY15" i="2"/>
  <c r="QG15" i="2" s="1"/>
  <c r="QX15" i="2"/>
  <c r="QF15" i="2" s="1"/>
  <c r="BY15" i="2"/>
  <c r="QU15" i="2"/>
  <c r="QT15" i="2"/>
  <c r="QS15" i="2"/>
  <c r="QA15" i="2" s="1"/>
  <c r="QR15" i="2"/>
  <c r="BW15" i="2"/>
  <c r="BV15" i="2"/>
  <c r="QW14" i="2"/>
  <c r="QV14" i="2"/>
  <c r="BZ14" i="2"/>
  <c r="QY14" i="2"/>
  <c r="QG14" i="2" s="1"/>
  <c r="QX14" i="2"/>
  <c r="QF14" i="2" s="1"/>
  <c r="BY14" i="2"/>
  <c r="QU14" i="2"/>
  <c r="QC14" i="2" s="1"/>
  <c r="QT14" i="2"/>
  <c r="QB14" i="2" s="1"/>
  <c r="QS14" i="2"/>
  <c r="QA14" i="2" s="1"/>
  <c r="QR14" i="2"/>
  <c r="BW14" i="2"/>
  <c r="BV14" i="2"/>
  <c r="QW13" i="2"/>
  <c r="QV13" i="2"/>
  <c r="BZ13" i="2"/>
  <c r="QY13" i="2"/>
  <c r="QG13" i="2" s="1"/>
  <c r="QX13" i="2"/>
  <c r="QF13" i="2" s="1"/>
  <c r="BY13" i="2"/>
  <c r="QU13" i="2"/>
  <c r="QC13" i="2" s="1"/>
  <c r="QT13" i="2"/>
  <c r="QB13" i="2" s="1"/>
  <c r="QS13" i="2"/>
  <c r="QA13" i="2" s="1"/>
  <c r="QR13" i="2"/>
  <c r="BW13" i="2"/>
  <c r="BV13" i="2"/>
  <c r="QW12" i="2"/>
  <c r="QV12" i="2"/>
  <c r="BZ12" i="2"/>
  <c r="QY12" i="2"/>
  <c r="QG12" i="2" s="1"/>
  <c r="QG30" i="2" s="1"/>
  <c r="QG37" i="2" s="1"/>
  <c r="PO59" i="2" s="1"/>
  <c r="QX12" i="2"/>
  <c r="QF12" i="2" s="1"/>
  <c r="BY12" i="2"/>
  <c r="QU12" i="2"/>
  <c r="QC12" i="2" s="1"/>
  <c r="QT12" i="2"/>
  <c r="QB12" i="2" s="1"/>
  <c r="QS12" i="2"/>
  <c r="QA12" i="2" s="1"/>
  <c r="QA30" i="2" s="1"/>
  <c r="QA37" i="2" s="1"/>
  <c r="PI59" i="2" s="1"/>
  <c r="QR12" i="2"/>
  <c r="PZ12" i="2" s="1"/>
  <c r="BW12" i="2"/>
  <c r="BV12" i="2"/>
  <c r="CI33" i="2"/>
  <c r="CH33" i="2"/>
  <c r="CI32" i="2"/>
  <c r="CH13" i="2"/>
  <c r="CI13" i="2"/>
  <c r="CH14" i="2"/>
  <c r="CI14" i="2"/>
  <c r="CH15" i="2"/>
  <c r="CI15" i="2"/>
  <c r="CH16" i="2"/>
  <c r="CI16" i="2"/>
  <c r="CH17" i="2"/>
  <c r="CI17" i="2"/>
  <c r="CH18" i="2"/>
  <c r="CI18" i="2"/>
  <c r="CH19" i="2"/>
  <c r="CI19" i="2"/>
  <c r="CH20" i="2"/>
  <c r="CI20" i="2"/>
  <c r="CH21" i="2"/>
  <c r="CI21" i="2"/>
  <c r="CH22" i="2"/>
  <c r="CI22" i="2"/>
  <c r="CH23" i="2"/>
  <c r="CI23" i="2"/>
  <c r="CH24" i="2"/>
  <c r="CI24" i="2"/>
  <c r="CH25" i="2"/>
  <c r="CI25" i="2"/>
  <c r="CH26" i="2"/>
  <c r="CI26" i="2"/>
  <c r="CH27" i="2"/>
  <c r="CI27" i="2"/>
  <c r="CH28" i="2"/>
  <c r="CI28" i="2"/>
  <c r="CH29" i="2"/>
  <c r="CI29" i="2"/>
  <c r="CI12" i="2"/>
  <c r="CH12" i="2"/>
  <c r="CR13" i="2"/>
  <c r="CS13" i="2"/>
  <c r="CR14" i="2"/>
  <c r="CR15" i="2"/>
  <c r="CS15" i="2"/>
  <c r="CR16" i="2"/>
  <c r="CS16" i="2"/>
  <c r="CR17" i="2"/>
  <c r="CS17" i="2"/>
  <c r="CR18" i="2"/>
  <c r="CS18" i="2"/>
  <c r="CR19" i="2"/>
  <c r="CS19" i="2"/>
  <c r="CR20" i="2"/>
  <c r="CS20" i="2"/>
  <c r="CR21" i="2"/>
  <c r="CS21" i="2"/>
  <c r="CR22" i="2"/>
  <c r="CR23" i="2"/>
  <c r="CS23" i="2"/>
  <c r="CR24" i="2"/>
  <c r="CS24" i="2"/>
  <c r="CR25" i="2"/>
  <c r="CS25" i="2"/>
  <c r="CR26" i="2"/>
  <c r="CS26" i="2"/>
  <c r="CR27" i="2"/>
  <c r="CS27" i="2"/>
  <c r="CR28" i="2"/>
  <c r="CS28" i="2"/>
  <c r="CR29" i="2"/>
  <c r="CS29" i="2"/>
  <c r="CS12" i="2"/>
  <c r="CR12" i="2"/>
  <c r="EB33" i="2"/>
  <c r="EA33" i="2"/>
  <c r="DZ33" i="2"/>
  <c r="AB31" i="18" s="1"/>
  <c r="DY33" i="2"/>
  <c r="DV33" i="2"/>
  <c r="EB32" i="2"/>
  <c r="EA32" i="2"/>
  <c r="DZ32" i="2"/>
  <c r="AB30" i="18" s="1"/>
  <c r="DY32" i="2"/>
  <c r="DV32" i="2"/>
  <c r="DV13" i="2"/>
  <c r="DY13" i="2"/>
  <c r="DZ13" i="2"/>
  <c r="AB11" i="18" s="1"/>
  <c r="EA13" i="2"/>
  <c r="EB13" i="2"/>
  <c r="DV14" i="2"/>
  <c r="DY14" i="2"/>
  <c r="DZ14" i="2"/>
  <c r="AB12" i="18" s="1"/>
  <c r="EA14" i="2"/>
  <c r="EB14" i="2"/>
  <c r="DV15" i="2"/>
  <c r="DY15" i="2"/>
  <c r="DZ15" i="2"/>
  <c r="AB13" i="18" s="1"/>
  <c r="EA15" i="2"/>
  <c r="EB15" i="2"/>
  <c r="DV16" i="2"/>
  <c r="DY16" i="2"/>
  <c r="DZ16" i="2"/>
  <c r="AB14" i="18" s="1"/>
  <c r="EA16" i="2"/>
  <c r="EB16" i="2"/>
  <c r="DV17" i="2"/>
  <c r="DY17" i="2"/>
  <c r="DZ17" i="2"/>
  <c r="AB15" i="18" s="1"/>
  <c r="EA17" i="2"/>
  <c r="EB17" i="2"/>
  <c r="DV18" i="2"/>
  <c r="DY18" i="2"/>
  <c r="DZ18" i="2"/>
  <c r="AB16" i="18" s="1"/>
  <c r="EA18" i="2"/>
  <c r="EB18" i="2"/>
  <c r="DV19" i="2"/>
  <c r="DY19" i="2"/>
  <c r="DZ19" i="2"/>
  <c r="AB17" i="18" s="1"/>
  <c r="EA19" i="2"/>
  <c r="EB19" i="2"/>
  <c r="DV20" i="2"/>
  <c r="DY20" i="2"/>
  <c r="DZ20" i="2"/>
  <c r="AB18" i="18" s="1"/>
  <c r="EA20" i="2"/>
  <c r="EB20" i="2"/>
  <c r="DV21" i="2"/>
  <c r="DY21" i="2"/>
  <c r="DZ21" i="2"/>
  <c r="AB19" i="18" s="1"/>
  <c r="EA21" i="2"/>
  <c r="EB21" i="2"/>
  <c r="DV22" i="2"/>
  <c r="DY22" i="2"/>
  <c r="DZ22" i="2"/>
  <c r="AB20" i="18" s="1"/>
  <c r="EA22" i="2"/>
  <c r="EB22" i="2"/>
  <c r="DV23" i="2"/>
  <c r="DY23" i="2"/>
  <c r="DZ23" i="2"/>
  <c r="AB21" i="18" s="1"/>
  <c r="EA23" i="2"/>
  <c r="EB23" i="2"/>
  <c r="DV24" i="2"/>
  <c r="DY24" i="2"/>
  <c r="DZ24" i="2"/>
  <c r="AB22" i="18" s="1"/>
  <c r="EA24" i="2"/>
  <c r="EB24" i="2"/>
  <c r="DV25" i="2"/>
  <c r="DY25" i="2"/>
  <c r="DZ25" i="2"/>
  <c r="AB23" i="18" s="1"/>
  <c r="EA25" i="2"/>
  <c r="EB25" i="2"/>
  <c r="DV26" i="2"/>
  <c r="DY26" i="2"/>
  <c r="DZ26" i="2"/>
  <c r="AB24" i="18" s="1"/>
  <c r="EA26" i="2"/>
  <c r="EB26" i="2"/>
  <c r="DV27" i="2"/>
  <c r="DY27" i="2"/>
  <c r="DZ27" i="2"/>
  <c r="AB25" i="18" s="1"/>
  <c r="EA27" i="2"/>
  <c r="EB27" i="2"/>
  <c r="DV28" i="2"/>
  <c r="DY28" i="2"/>
  <c r="DZ28" i="2"/>
  <c r="AB26" i="18" s="1"/>
  <c r="EA28" i="2"/>
  <c r="EB28" i="2"/>
  <c r="DV29" i="2"/>
  <c r="DY29" i="2"/>
  <c r="DZ29" i="2"/>
  <c r="AB27" i="18" s="1"/>
  <c r="EA29" i="2"/>
  <c r="EB29" i="2"/>
  <c r="EB12" i="2"/>
  <c r="EA12" i="2"/>
  <c r="DZ12" i="2"/>
  <c r="AB10" i="18" s="1"/>
  <c r="DY12" i="2"/>
  <c r="DV12" i="2"/>
  <c r="HM33" i="2"/>
  <c r="CV31" i="18" s="1"/>
  <c r="HL33" i="2"/>
  <c r="HK33" i="2"/>
  <c r="CN31" i="18" s="1"/>
  <c r="HJ33" i="2"/>
  <c r="HI33" i="2"/>
  <c r="HR33" i="2" s="1"/>
  <c r="HH33" i="2"/>
  <c r="HQ33" i="2" s="1"/>
  <c r="HN33" i="2" s="1"/>
  <c r="HM32" i="2"/>
  <c r="CV30" i="18" s="1"/>
  <c r="HL32" i="2"/>
  <c r="HK32" i="2"/>
  <c r="CN30" i="18" s="1"/>
  <c r="HJ32" i="2"/>
  <c r="HI32" i="2"/>
  <c r="HR32" i="2" s="1"/>
  <c r="HH32" i="2"/>
  <c r="HH13" i="2"/>
  <c r="HI13" i="2"/>
  <c r="HR13" i="2" s="1"/>
  <c r="HJ13" i="2"/>
  <c r="HS13" i="2" s="1"/>
  <c r="HK13" i="2"/>
  <c r="HT13" i="2" s="1"/>
  <c r="HL13" i="2"/>
  <c r="HM13" i="2"/>
  <c r="HH14" i="2"/>
  <c r="HI14" i="2"/>
  <c r="HJ14" i="2"/>
  <c r="HS14" i="2" s="1"/>
  <c r="HK14" i="2"/>
  <c r="HT14" i="2" s="1"/>
  <c r="CS12" i="18" s="1"/>
  <c r="HL14" i="2"/>
  <c r="HM14" i="2"/>
  <c r="HH15" i="2"/>
  <c r="HI15" i="2"/>
  <c r="HJ15" i="2"/>
  <c r="HS15" i="2" s="1"/>
  <c r="HK15" i="2"/>
  <c r="HT15" i="2" s="1"/>
  <c r="HL15" i="2"/>
  <c r="HM15" i="2"/>
  <c r="HH16" i="2"/>
  <c r="HI16" i="2"/>
  <c r="HJ16" i="2"/>
  <c r="HS16" i="2" s="1"/>
  <c r="HK16" i="2"/>
  <c r="HT16" i="2" s="1"/>
  <c r="HL16" i="2"/>
  <c r="HM16" i="2"/>
  <c r="HH17" i="2"/>
  <c r="HI17" i="2"/>
  <c r="HJ17" i="2"/>
  <c r="HS17" i="2" s="1"/>
  <c r="HK17" i="2"/>
  <c r="HT17" i="2" s="1"/>
  <c r="HL17" i="2"/>
  <c r="HM17" i="2"/>
  <c r="HH18" i="2"/>
  <c r="HI18" i="2"/>
  <c r="HR18" i="2" s="1"/>
  <c r="CK16" i="18" s="1"/>
  <c r="HJ18" i="2"/>
  <c r="HS18" i="2" s="1"/>
  <c r="HK18" i="2"/>
  <c r="HT18" i="2" s="1"/>
  <c r="HL18" i="2"/>
  <c r="HM18" i="2"/>
  <c r="HH19" i="2"/>
  <c r="HI19" i="2"/>
  <c r="HJ19" i="2"/>
  <c r="HS19" i="2" s="1"/>
  <c r="HK19" i="2"/>
  <c r="HT19" i="2" s="1"/>
  <c r="HL19" i="2"/>
  <c r="HM19" i="2"/>
  <c r="HH20" i="2"/>
  <c r="HI20" i="2"/>
  <c r="HJ20" i="2"/>
  <c r="HS20" i="2" s="1"/>
  <c r="HK20" i="2"/>
  <c r="HT20" i="2" s="1"/>
  <c r="HL20" i="2"/>
  <c r="HM20" i="2"/>
  <c r="HH21" i="2"/>
  <c r="HI21" i="2"/>
  <c r="HJ21" i="2"/>
  <c r="HS21" i="2" s="1"/>
  <c r="HK21" i="2"/>
  <c r="HT21" i="2" s="1"/>
  <c r="HL21" i="2"/>
  <c r="HM21" i="2"/>
  <c r="HH22" i="2"/>
  <c r="HI22" i="2"/>
  <c r="HR22" i="2" s="1"/>
  <c r="CK20" i="18" s="1"/>
  <c r="HJ22" i="2"/>
  <c r="HS22" i="2" s="1"/>
  <c r="HK22" i="2"/>
  <c r="HT22" i="2" s="1"/>
  <c r="HL22" i="2"/>
  <c r="HM22" i="2"/>
  <c r="HH23" i="2"/>
  <c r="HI23" i="2"/>
  <c r="HJ23" i="2"/>
  <c r="HS23" i="2" s="1"/>
  <c r="HK23" i="2"/>
  <c r="HT23" i="2" s="1"/>
  <c r="HL23" i="2"/>
  <c r="HM23" i="2"/>
  <c r="HH24" i="2"/>
  <c r="HI24" i="2"/>
  <c r="HJ24" i="2"/>
  <c r="HS24" i="2" s="1"/>
  <c r="HK24" i="2"/>
  <c r="HT24" i="2" s="1"/>
  <c r="HL24" i="2"/>
  <c r="HM24" i="2"/>
  <c r="HH25" i="2"/>
  <c r="HI25" i="2"/>
  <c r="HJ25" i="2"/>
  <c r="HS25" i="2" s="1"/>
  <c r="HK25" i="2"/>
  <c r="HT25" i="2" s="1"/>
  <c r="HL25" i="2"/>
  <c r="HM25" i="2"/>
  <c r="HH26" i="2"/>
  <c r="HQ26" i="2" s="1"/>
  <c r="HI26" i="2"/>
  <c r="HR26" i="2" s="1"/>
  <c r="CK24" i="18" s="1"/>
  <c r="HJ26" i="2"/>
  <c r="HS26" i="2" s="1"/>
  <c r="HK26" i="2"/>
  <c r="HT26" i="2" s="1"/>
  <c r="HL26" i="2"/>
  <c r="HM26" i="2"/>
  <c r="HH27" i="2"/>
  <c r="HI27" i="2"/>
  <c r="HJ27" i="2"/>
  <c r="HS27" i="2" s="1"/>
  <c r="HK27" i="2"/>
  <c r="HT27" i="2" s="1"/>
  <c r="HL27" i="2"/>
  <c r="HM27" i="2"/>
  <c r="HH28" i="2"/>
  <c r="HI28" i="2"/>
  <c r="HJ28" i="2"/>
  <c r="HS28" i="2" s="1"/>
  <c r="HK28" i="2"/>
  <c r="HT28" i="2" s="1"/>
  <c r="HL28" i="2"/>
  <c r="HM28" i="2"/>
  <c r="HH29" i="2"/>
  <c r="HI29" i="2"/>
  <c r="HJ29" i="2"/>
  <c r="HS29" i="2" s="1"/>
  <c r="HK29" i="2"/>
  <c r="HT29" i="2" s="1"/>
  <c r="HL29" i="2"/>
  <c r="HM29" i="2"/>
  <c r="HM12" i="2"/>
  <c r="HL12" i="2"/>
  <c r="HK12" i="2"/>
  <c r="HT12" i="2" s="1"/>
  <c r="HJ12" i="2"/>
  <c r="HS12" i="2" s="1"/>
  <c r="HI12" i="2"/>
  <c r="HH12" i="2"/>
  <c r="IE29" i="2"/>
  <c r="ID29" i="2"/>
  <c r="IC29" i="2"/>
  <c r="IB29" i="2"/>
  <c r="IA29" i="2"/>
  <c r="IJ29" i="2" s="1"/>
  <c r="HZ29" i="2"/>
  <c r="II29" i="2" s="1"/>
  <c r="IE28" i="2"/>
  <c r="ID28" i="2"/>
  <c r="IC28" i="2"/>
  <c r="IB28" i="2"/>
  <c r="IA28" i="2"/>
  <c r="IJ28" i="2" s="1"/>
  <c r="HZ28" i="2"/>
  <c r="II28" i="2" s="1"/>
  <c r="IE27" i="2"/>
  <c r="ID27" i="2"/>
  <c r="IC27" i="2"/>
  <c r="IB27" i="2"/>
  <c r="IA27" i="2"/>
  <c r="IJ27" i="2" s="1"/>
  <c r="HZ27" i="2"/>
  <c r="II27" i="2" s="1"/>
  <c r="IE26" i="2"/>
  <c r="ID26" i="2"/>
  <c r="IC26" i="2"/>
  <c r="IB26" i="2"/>
  <c r="IA26" i="2"/>
  <c r="IJ26" i="2" s="1"/>
  <c r="HZ26" i="2"/>
  <c r="II26" i="2" s="1"/>
  <c r="IE25" i="2"/>
  <c r="ID25" i="2"/>
  <c r="IC25" i="2"/>
  <c r="IB25" i="2"/>
  <c r="IA25" i="2"/>
  <c r="IJ25" i="2" s="1"/>
  <c r="HZ25" i="2"/>
  <c r="II25" i="2" s="1"/>
  <c r="IE24" i="2"/>
  <c r="ID24" i="2"/>
  <c r="IC24" i="2"/>
  <c r="IB24" i="2"/>
  <c r="IA24" i="2"/>
  <c r="IJ24" i="2" s="1"/>
  <c r="HZ24" i="2"/>
  <c r="II24" i="2" s="1"/>
  <c r="IE23" i="2"/>
  <c r="ID23" i="2"/>
  <c r="IC23" i="2"/>
  <c r="IB23" i="2"/>
  <c r="IA23" i="2"/>
  <c r="IJ23" i="2" s="1"/>
  <c r="HZ23" i="2"/>
  <c r="II23" i="2" s="1"/>
  <c r="IE22" i="2"/>
  <c r="ID22" i="2"/>
  <c r="IC22" i="2"/>
  <c r="IB22" i="2"/>
  <c r="IA22" i="2"/>
  <c r="IJ22" i="2" s="1"/>
  <c r="HZ22" i="2"/>
  <c r="II22" i="2" s="1"/>
  <c r="IE21" i="2"/>
  <c r="ID21" i="2"/>
  <c r="IC21" i="2"/>
  <c r="IB21" i="2"/>
  <c r="IA21" i="2"/>
  <c r="IJ21" i="2" s="1"/>
  <c r="HZ21" i="2"/>
  <c r="II21" i="2" s="1"/>
  <c r="IE20" i="2"/>
  <c r="ID20" i="2"/>
  <c r="IC20" i="2"/>
  <c r="IB20" i="2"/>
  <c r="IA20" i="2"/>
  <c r="IJ20" i="2" s="1"/>
  <c r="HZ20" i="2"/>
  <c r="II20" i="2" s="1"/>
  <c r="IE19" i="2"/>
  <c r="ID19" i="2"/>
  <c r="IC19" i="2"/>
  <c r="IB19" i="2"/>
  <c r="IA19" i="2"/>
  <c r="IJ19" i="2" s="1"/>
  <c r="HZ19" i="2"/>
  <c r="II19" i="2" s="1"/>
  <c r="IE18" i="2"/>
  <c r="ID18" i="2"/>
  <c r="IC18" i="2"/>
  <c r="IB18" i="2"/>
  <c r="IA18" i="2"/>
  <c r="IJ18" i="2" s="1"/>
  <c r="HZ18" i="2"/>
  <c r="II18" i="2" s="1"/>
  <c r="IE17" i="2"/>
  <c r="ID17" i="2"/>
  <c r="IC17" i="2"/>
  <c r="IB17" i="2"/>
  <c r="IA17" i="2"/>
  <c r="IJ17" i="2" s="1"/>
  <c r="HZ17" i="2"/>
  <c r="II17" i="2" s="1"/>
  <c r="IE16" i="2"/>
  <c r="ID16" i="2"/>
  <c r="IC16" i="2"/>
  <c r="IB16" i="2"/>
  <c r="IA16" i="2"/>
  <c r="IJ16" i="2" s="1"/>
  <c r="HZ16" i="2"/>
  <c r="II16" i="2" s="1"/>
  <c r="IE15" i="2"/>
  <c r="ID15" i="2"/>
  <c r="IC15" i="2"/>
  <c r="IB15" i="2"/>
  <c r="IA15" i="2"/>
  <c r="IJ15" i="2" s="1"/>
  <c r="HZ15" i="2"/>
  <c r="II15" i="2" s="1"/>
  <c r="IE14" i="2"/>
  <c r="ID14" i="2"/>
  <c r="IA14" i="2"/>
  <c r="IJ14" i="2" s="1"/>
  <c r="HZ14" i="2"/>
  <c r="II14" i="2" s="1"/>
  <c r="IE13" i="2"/>
  <c r="ID13" i="2"/>
  <c r="IC13" i="2"/>
  <c r="IB13" i="2"/>
  <c r="IA13" i="2"/>
  <c r="IJ13" i="2" s="1"/>
  <c r="HZ13" i="2"/>
  <c r="II13" i="2" s="1"/>
  <c r="IE12" i="2"/>
  <c r="ID12" i="2"/>
  <c r="IC12" i="2"/>
  <c r="IB12" i="2"/>
  <c r="IA12" i="2"/>
  <c r="IJ12" i="2" s="1"/>
  <c r="HZ12" i="2"/>
  <c r="II12" i="2" s="1"/>
  <c r="JO29" i="2"/>
  <c r="JN29" i="2"/>
  <c r="JM29" i="2"/>
  <c r="CQ27" i="18" s="1"/>
  <c r="JL29" i="2"/>
  <c r="JK29" i="2"/>
  <c r="CI27" i="18" s="1"/>
  <c r="JJ29" i="2"/>
  <c r="JO28" i="2"/>
  <c r="JN28" i="2"/>
  <c r="JM28" i="2"/>
  <c r="CQ26" i="18" s="1"/>
  <c r="JL28" i="2"/>
  <c r="JK28" i="2"/>
  <c r="CI26" i="18" s="1"/>
  <c r="JJ28" i="2"/>
  <c r="JO27" i="2"/>
  <c r="JN27" i="2"/>
  <c r="JM27" i="2"/>
  <c r="CQ25" i="18" s="1"/>
  <c r="JL27" i="2"/>
  <c r="JK27" i="2"/>
  <c r="CI25" i="18" s="1"/>
  <c r="JJ27" i="2"/>
  <c r="JS27" i="2" s="1"/>
  <c r="JO26" i="2"/>
  <c r="JN26" i="2"/>
  <c r="JM26" i="2"/>
  <c r="CQ24" i="18" s="1"/>
  <c r="JL26" i="2"/>
  <c r="JK26" i="2"/>
  <c r="CI24" i="18" s="1"/>
  <c r="JJ26" i="2"/>
  <c r="JO25" i="2"/>
  <c r="JN25" i="2"/>
  <c r="JM25" i="2"/>
  <c r="CQ23" i="18" s="1"/>
  <c r="JL25" i="2"/>
  <c r="JK25" i="2"/>
  <c r="CI23" i="18" s="1"/>
  <c r="JJ25" i="2"/>
  <c r="JO24" i="2"/>
  <c r="JN24" i="2"/>
  <c r="JM24" i="2"/>
  <c r="CQ22" i="18" s="1"/>
  <c r="JL24" i="2"/>
  <c r="JK24" i="2"/>
  <c r="CI22" i="18" s="1"/>
  <c r="JJ24" i="2"/>
  <c r="JO23" i="2"/>
  <c r="JN23" i="2"/>
  <c r="JM23" i="2"/>
  <c r="CQ21" i="18" s="1"/>
  <c r="JL23" i="2"/>
  <c r="JK23" i="2"/>
  <c r="CI21" i="18" s="1"/>
  <c r="JJ23" i="2"/>
  <c r="JO22" i="2"/>
  <c r="JN22" i="2"/>
  <c r="JM22" i="2"/>
  <c r="CQ20" i="18" s="1"/>
  <c r="JL22" i="2"/>
  <c r="JK22" i="2"/>
  <c r="CI20" i="18" s="1"/>
  <c r="JJ22" i="2"/>
  <c r="JO21" i="2"/>
  <c r="JN21" i="2"/>
  <c r="JM21" i="2"/>
  <c r="CQ19" i="18" s="1"/>
  <c r="JL21" i="2"/>
  <c r="JK21" i="2"/>
  <c r="CI19" i="18" s="1"/>
  <c r="JJ21" i="2"/>
  <c r="JO20" i="2"/>
  <c r="JN20" i="2"/>
  <c r="JM20" i="2"/>
  <c r="CQ18" i="18" s="1"/>
  <c r="JL20" i="2"/>
  <c r="JK20" i="2"/>
  <c r="CI18" i="18" s="1"/>
  <c r="JJ20" i="2"/>
  <c r="JO19" i="2"/>
  <c r="JN19" i="2"/>
  <c r="JM19" i="2"/>
  <c r="CQ17" i="18" s="1"/>
  <c r="JL19" i="2"/>
  <c r="JK19" i="2"/>
  <c r="JJ19" i="2"/>
  <c r="JS19" i="2" s="1"/>
  <c r="JO18" i="2"/>
  <c r="JN18" i="2"/>
  <c r="JM18" i="2"/>
  <c r="CQ16" i="18" s="1"/>
  <c r="JL18" i="2"/>
  <c r="JK18" i="2"/>
  <c r="CI16" i="18" s="1"/>
  <c r="JJ18" i="2"/>
  <c r="JO17" i="2"/>
  <c r="JN17" i="2"/>
  <c r="JM17" i="2"/>
  <c r="CQ15" i="18" s="1"/>
  <c r="JL17" i="2"/>
  <c r="JK17" i="2"/>
  <c r="CI15" i="18" s="1"/>
  <c r="JJ17" i="2"/>
  <c r="JO16" i="2"/>
  <c r="JN16" i="2"/>
  <c r="JM16" i="2"/>
  <c r="CQ14" i="18" s="1"/>
  <c r="JL16" i="2"/>
  <c r="JK16" i="2"/>
  <c r="CI14" i="18" s="1"/>
  <c r="JJ16" i="2"/>
  <c r="JO15" i="2"/>
  <c r="JN15" i="2"/>
  <c r="JM15" i="2"/>
  <c r="CQ13" i="18" s="1"/>
  <c r="JL15" i="2"/>
  <c r="JK15" i="2"/>
  <c r="CI13" i="18" s="1"/>
  <c r="JJ15" i="2"/>
  <c r="JO14" i="2"/>
  <c r="JN14" i="2"/>
  <c r="JM14" i="2"/>
  <c r="JL14" i="2"/>
  <c r="JU14" i="2" s="1"/>
  <c r="JK14" i="2"/>
  <c r="CI12" i="18" s="1"/>
  <c r="JJ14" i="2"/>
  <c r="JO13" i="2"/>
  <c r="JN13" i="2"/>
  <c r="JM13" i="2"/>
  <c r="CQ11" i="18" s="1"/>
  <c r="JL13" i="2"/>
  <c r="JK13" i="2"/>
  <c r="CI11" i="18" s="1"/>
  <c r="JJ13" i="2"/>
  <c r="JO12" i="2"/>
  <c r="JN12" i="2"/>
  <c r="JM12" i="2"/>
  <c r="CQ10" i="18" s="1"/>
  <c r="JL12" i="2"/>
  <c r="JK12" i="2"/>
  <c r="CI10" i="18" s="1"/>
  <c r="JJ12" i="2"/>
  <c r="CK31" i="18" l="1"/>
  <c r="I31" i="18" s="1"/>
  <c r="CJ31" i="18"/>
  <c r="H31" i="18" s="1"/>
  <c r="CJ24" i="18"/>
  <c r="HN26" i="2"/>
  <c r="CS23" i="18"/>
  <c r="CR23" i="18"/>
  <c r="CS13" i="18"/>
  <c r="CR13" i="18"/>
  <c r="CS27" i="18"/>
  <c r="CR27" i="18"/>
  <c r="CS17" i="18"/>
  <c r="CR17" i="18"/>
  <c r="CS25" i="18"/>
  <c r="CR25" i="18"/>
  <c r="CS21" i="18"/>
  <c r="CR21" i="18"/>
  <c r="CS19" i="18"/>
  <c r="CR19" i="18"/>
  <c r="CS15" i="18"/>
  <c r="CR15" i="18"/>
  <c r="CS11" i="18"/>
  <c r="CR11" i="18"/>
  <c r="CS10" i="18"/>
  <c r="CR10" i="18"/>
  <c r="CS26" i="18"/>
  <c r="CR26" i="18"/>
  <c r="CS24" i="18"/>
  <c r="CR24" i="18"/>
  <c r="CS22" i="18"/>
  <c r="CR22" i="18"/>
  <c r="CS20" i="18"/>
  <c r="CR20" i="18"/>
  <c r="CS18" i="18"/>
  <c r="CR18" i="18"/>
  <c r="CS16" i="18"/>
  <c r="CR16" i="18"/>
  <c r="CS14" i="18"/>
  <c r="CR14" i="18"/>
  <c r="G184" i="8"/>
  <c r="I184" i="8" s="1"/>
  <c r="H184" i="8"/>
  <c r="E186" i="8"/>
  <c r="D10" i="16" s="1"/>
  <c r="G183" i="8"/>
  <c r="H183" i="8"/>
  <c r="CJ16" i="18"/>
  <c r="CJ20" i="18"/>
  <c r="AQ21" i="2"/>
  <c r="HQ28" i="2"/>
  <c r="HQ24" i="2"/>
  <c r="HQ22" i="2"/>
  <c r="HN22" i="2" s="1"/>
  <c r="HQ20" i="2"/>
  <c r="HQ18" i="2"/>
  <c r="HN18" i="2" s="1"/>
  <c r="HQ16" i="2"/>
  <c r="HQ14" i="2"/>
  <c r="HQ12" i="2"/>
  <c r="HQ32" i="2"/>
  <c r="HN32" i="2" s="1"/>
  <c r="AQ18" i="2"/>
  <c r="HQ29" i="2"/>
  <c r="HQ27" i="2"/>
  <c r="HQ25" i="2"/>
  <c r="HQ23" i="2"/>
  <c r="HQ21" i="2"/>
  <c r="HQ19" i="2"/>
  <c r="HQ17" i="2"/>
  <c r="HQ15" i="2"/>
  <c r="HQ13" i="2"/>
  <c r="IF12" i="2"/>
  <c r="IF17" i="2"/>
  <c r="IF21" i="2"/>
  <c r="IF23" i="2"/>
  <c r="IF25" i="2"/>
  <c r="CN32" i="18"/>
  <c r="IF15" i="2"/>
  <c r="IF13" i="2"/>
  <c r="IF18" i="2"/>
  <c r="IF20" i="2"/>
  <c r="IF22" i="2"/>
  <c r="IF24" i="2"/>
  <c r="IF26" i="2"/>
  <c r="IF28" i="2"/>
  <c r="IF29" i="2"/>
  <c r="CQ12" i="18"/>
  <c r="CQ28" i="18" s="1"/>
  <c r="CQ35" i="18" s="1"/>
  <c r="JV14" i="2"/>
  <c r="CU12" i="18" s="1"/>
  <c r="CI17" i="18"/>
  <c r="CI28" i="18" s="1"/>
  <c r="CI35" i="18" s="1"/>
  <c r="JT19" i="2"/>
  <c r="CM17" i="18" s="1"/>
  <c r="K17" i="18" s="1"/>
  <c r="CK30" i="18"/>
  <c r="CJ30" i="18"/>
  <c r="IF16" i="2"/>
  <c r="CV26" i="18"/>
  <c r="CV24" i="18"/>
  <c r="CV22" i="18"/>
  <c r="CV27" i="18"/>
  <c r="CO27" i="18"/>
  <c r="CN27" i="18"/>
  <c r="HR28" i="2"/>
  <c r="CG26" i="18"/>
  <c r="CF26" i="18"/>
  <c r="CO25" i="18"/>
  <c r="CN25" i="18"/>
  <c r="CG24" i="18"/>
  <c r="CF24" i="18"/>
  <c r="CO23" i="18"/>
  <c r="CN23" i="18"/>
  <c r="CG22" i="18"/>
  <c r="CF22" i="18"/>
  <c r="CO21" i="18"/>
  <c r="CN21" i="18"/>
  <c r="CG20" i="18"/>
  <c r="CF20" i="18"/>
  <c r="CO19" i="18"/>
  <c r="CN19" i="18"/>
  <c r="CG18" i="18"/>
  <c r="CF18" i="18"/>
  <c r="CO17" i="18"/>
  <c r="CN17" i="18"/>
  <c r="CG16" i="18"/>
  <c r="CF16" i="18"/>
  <c r="CO15" i="18"/>
  <c r="CN15" i="18"/>
  <c r="CG14" i="18"/>
  <c r="CF14" i="18"/>
  <c r="CO13" i="18"/>
  <c r="CN13" i="18"/>
  <c r="CG12" i="18"/>
  <c r="CF12" i="18"/>
  <c r="CO11" i="18"/>
  <c r="CN11" i="18"/>
  <c r="AC26" i="18"/>
  <c r="AC22" i="18"/>
  <c r="AC18" i="18"/>
  <c r="AC14" i="18"/>
  <c r="AC30" i="18"/>
  <c r="AB32" i="18"/>
  <c r="GP10" i="18"/>
  <c r="GP28" i="18" s="1"/>
  <c r="GP35" i="18" s="1"/>
  <c r="GN28" i="18"/>
  <c r="GN35" i="18" s="1"/>
  <c r="HM10" i="18"/>
  <c r="CV20" i="18"/>
  <c r="CV18" i="18"/>
  <c r="CV16" i="18"/>
  <c r="CV14" i="18"/>
  <c r="CV12" i="18"/>
  <c r="IF19" i="2"/>
  <c r="CO10" i="18"/>
  <c r="CN10" i="18"/>
  <c r="CG31" i="18"/>
  <c r="CF31" i="18"/>
  <c r="AC27" i="18"/>
  <c r="AC23" i="18"/>
  <c r="AC19" i="18"/>
  <c r="AC15" i="18"/>
  <c r="AC11" i="18"/>
  <c r="GV36" i="18"/>
  <c r="CG27" i="18"/>
  <c r="CF27" i="18"/>
  <c r="CO26" i="18"/>
  <c r="CN26" i="18"/>
  <c r="CG25" i="18"/>
  <c r="CF25" i="18"/>
  <c r="CO24" i="18"/>
  <c r="CN24" i="18"/>
  <c r="HR25" i="2"/>
  <c r="CG23" i="18"/>
  <c r="CF23" i="18"/>
  <c r="CO22" i="18"/>
  <c r="CN22" i="18"/>
  <c r="HR23" i="2"/>
  <c r="CG21" i="18"/>
  <c r="CF21" i="18"/>
  <c r="CO20" i="18"/>
  <c r="CN20" i="18"/>
  <c r="CG19" i="18"/>
  <c r="CF19" i="18"/>
  <c r="CO18" i="18"/>
  <c r="CN18" i="18"/>
  <c r="CG17" i="18"/>
  <c r="CF17" i="18"/>
  <c r="CO16" i="18"/>
  <c r="CN16" i="18"/>
  <c r="CG15" i="18"/>
  <c r="CF15" i="18"/>
  <c r="CO14" i="18"/>
  <c r="CN14" i="18"/>
  <c r="CG13" i="18"/>
  <c r="CF13" i="18"/>
  <c r="CO12" i="18"/>
  <c r="CG11" i="18"/>
  <c r="CF11" i="18"/>
  <c r="AC10" i="18"/>
  <c r="AB28" i="18"/>
  <c r="AC24" i="18"/>
  <c r="AC20" i="18"/>
  <c r="AC16" i="18"/>
  <c r="AC12" i="18"/>
  <c r="CV25" i="18"/>
  <c r="CV23" i="18"/>
  <c r="CV21" i="18"/>
  <c r="CV19" i="18"/>
  <c r="CV17" i="18"/>
  <c r="CV15" i="18"/>
  <c r="CV13" i="18"/>
  <c r="CV11" i="18"/>
  <c r="CG10" i="18"/>
  <c r="CF10" i="18"/>
  <c r="CG30" i="18"/>
  <c r="CF30" i="18"/>
  <c r="AC25" i="18"/>
  <c r="AC21" i="18"/>
  <c r="AC17" i="18"/>
  <c r="AC13" i="18"/>
  <c r="AC31" i="18"/>
  <c r="CV10" i="18"/>
  <c r="CV32" i="18"/>
  <c r="HE33" i="2"/>
  <c r="IF27" i="2"/>
  <c r="DU33" i="2"/>
  <c r="CG33" i="2"/>
  <c r="HR24" i="2"/>
  <c r="HR20" i="2"/>
  <c r="HR16" i="2"/>
  <c r="HR14" i="2"/>
  <c r="HR29" i="2"/>
  <c r="HR27" i="2"/>
  <c r="HR21" i="2"/>
  <c r="HR19" i="2"/>
  <c r="HR17" i="2"/>
  <c r="HR15" i="2"/>
  <c r="JT27" i="2"/>
  <c r="HR12" i="2"/>
  <c r="EJ27" i="2"/>
  <c r="EJ23" i="2"/>
  <c r="EJ19" i="2"/>
  <c r="EJ15" i="2"/>
  <c r="EJ28" i="2"/>
  <c r="EJ24" i="2"/>
  <c r="EJ20" i="2"/>
  <c r="EJ16" i="2"/>
  <c r="EJ29" i="2"/>
  <c r="EJ25" i="2"/>
  <c r="EJ21" i="2"/>
  <c r="EJ17" i="2"/>
  <c r="EJ13" i="2"/>
  <c r="EJ12" i="2"/>
  <c r="EJ26" i="2"/>
  <c r="EJ22" i="2"/>
  <c r="EJ18" i="2"/>
  <c r="EJ14" i="2"/>
  <c r="BU12" i="2"/>
  <c r="BU13" i="2"/>
  <c r="BU14" i="2"/>
  <c r="BU15" i="2"/>
  <c r="BU16" i="2"/>
  <c r="BU17" i="2"/>
  <c r="BU18" i="2"/>
  <c r="BU19" i="2"/>
  <c r="BU20" i="2"/>
  <c r="BU21" i="2"/>
  <c r="BU22" i="2"/>
  <c r="BU23" i="2"/>
  <c r="BU24" i="2"/>
  <c r="BU25" i="2"/>
  <c r="BU26" i="2"/>
  <c r="BU27" i="2"/>
  <c r="BU28" i="2"/>
  <c r="BU29" i="2"/>
  <c r="QF30" i="2"/>
  <c r="QF37" i="2" s="1"/>
  <c r="PN59" i="2" s="1"/>
  <c r="OS34" i="2"/>
  <c r="QQ12" i="2"/>
  <c r="QQ13" i="2"/>
  <c r="QQ14" i="2"/>
  <c r="QQ15" i="2"/>
  <c r="QQ16" i="2"/>
  <c r="QQ17" i="2"/>
  <c r="QQ18" i="2"/>
  <c r="QQ19" i="2"/>
  <c r="QQ20" i="2"/>
  <c r="QQ21" i="2"/>
  <c r="QQ22" i="2"/>
  <c r="QQ23" i="2"/>
  <c r="QQ24" i="2"/>
  <c r="QQ25" i="2"/>
  <c r="QQ26" i="2"/>
  <c r="QQ27" i="2"/>
  <c r="QQ28" i="2"/>
  <c r="QQ29" i="2"/>
  <c r="PZ29" i="2"/>
  <c r="PZ25" i="2"/>
  <c r="PZ21" i="2"/>
  <c r="PZ17" i="2"/>
  <c r="PZ13" i="2"/>
  <c r="PZ26" i="2"/>
  <c r="PZ22" i="2"/>
  <c r="PZ18" i="2"/>
  <c r="PZ14" i="2"/>
  <c r="PZ27" i="2"/>
  <c r="PZ23" i="2"/>
  <c r="PZ19" i="2"/>
  <c r="PZ15" i="2"/>
  <c r="CQ29" i="2"/>
  <c r="DC29" i="2" s="1"/>
  <c r="CQ27" i="2"/>
  <c r="DC27" i="2" s="1"/>
  <c r="CQ25" i="2"/>
  <c r="DC25" i="2" s="1"/>
  <c r="CQ23" i="2"/>
  <c r="DC23" i="2" s="1"/>
  <c r="CQ21" i="2"/>
  <c r="DC21" i="2" s="1"/>
  <c r="CQ19" i="2"/>
  <c r="DC19" i="2" s="1"/>
  <c r="CQ17" i="2"/>
  <c r="DC17" i="2" s="1"/>
  <c r="CQ15" i="2"/>
  <c r="DC15" i="2" s="1"/>
  <c r="CQ13" i="2"/>
  <c r="DC13" i="2" s="1"/>
  <c r="CQ12" i="2"/>
  <c r="CG29" i="2"/>
  <c r="CG27" i="2"/>
  <c r="CG25" i="2"/>
  <c r="CG23" i="2"/>
  <c r="CG21" i="2"/>
  <c r="CQ28" i="2"/>
  <c r="DC28" i="2" s="1"/>
  <c r="DA28" i="2" s="1"/>
  <c r="CQ26" i="2"/>
  <c r="DC26" i="2" s="1"/>
  <c r="CQ24" i="2"/>
  <c r="DC24" i="2" s="1"/>
  <c r="DA24" i="2" s="1"/>
  <c r="CQ20" i="2"/>
  <c r="DC20" i="2" s="1"/>
  <c r="DA20" i="2" s="1"/>
  <c r="CQ18" i="2"/>
  <c r="DC18" i="2" s="1"/>
  <c r="CQ16" i="2"/>
  <c r="DC16" i="2" s="1"/>
  <c r="DA16" i="2" s="1"/>
  <c r="CG28" i="2"/>
  <c r="CG26" i="2"/>
  <c r="CG24" i="2"/>
  <c r="CG22" i="2"/>
  <c r="CG20" i="2"/>
  <c r="CG18" i="2"/>
  <c r="CG16" i="2"/>
  <c r="CG14" i="2"/>
  <c r="CG19" i="2"/>
  <c r="CG17" i="2"/>
  <c r="CG15" i="2"/>
  <c r="CG13" i="2"/>
  <c r="CG12" i="2"/>
  <c r="JG13" i="2"/>
  <c r="JG15" i="2"/>
  <c r="JG19" i="2"/>
  <c r="JG14" i="2"/>
  <c r="JG16" i="2"/>
  <c r="JG17" i="2"/>
  <c r="JG18" i="2"/>
  <c r="JG20" i="2"/>
  <c r="JG21" i="2"/>
  <c r="JG22" i="2"/>
  <c r="JG23" i="2"/>
  <c r="JG24" i="2"/>
  <c r="JG25" i="2"/>
  <c r="JG26" i="2"/>
  <c r="JG27" i="2"/>
  <c r="JG28" i="2"/>
  <c r="JG29" i="2"/>
  <c r="HW12" i="2"/>
  <c r="HW13" i="2"/>
  <c r="HE29" i="2"/>
  <c r="HE28" i="2"/>
  <c r="HE27" i="2"/>
  <c r="HE26" i="2"/>
  <c r="HE25" i="2"/>
  <c r="HE24" i="2"/>
  <c r="HE23" i="2"/>
  <c r="HE22" i="2"/>
  <c r="HE21" i="2"/>
  <c r="HE20" i="2"/>
  <c r="HE19" i="2"/>
  <c r="HE18" i="2"/>
  <c r="HE17" i="2"/>
  <c r="HE16" i="2"/>
  <c r="HE15" i="2"/>
  <c r="HE14" i="2"/>
  <c r="HE13" i="2"/>
  <c r="JG12" i="2"/>
  <c r="HW15" i="2"/>
  <c r="HW16" i="2"/>
  <c r="HW17" i="2"/>
  <c r="HW18" i="2"/>
  <c r="HW19" i="2"/>
  <c r="HW20" i="2"/>
  <c r="HW21" i="2"/>
  <c r="HW22" i="2"/>
  <c r="HW23" i="2"/>
  <c r="HW24" i="2"/>
  <c r="HW25" i="2"/>
  <c r="HW26" i="2"/>
  <c r="HW27" i="2"/>
  <c r="HW28" i="2"/>
  <c r="HW29" i="2"/>
  <c r="HE12" i="2"/>
  <c r="HE32" i="2"/>
  <c r="DM32" i="2"/>
  <c r="DM13" i="2"/>
  <c r="DM14" i="2"/>
  <c r="DM15" i="2"/>
  <c r="DM16" i="2"/>
  <c r="DM17" i="2"/>
  <c r="DM18" i="2"/>
  <c r="DM19" i="2"/>
  <c r="DM20" i="2"/>
  <c r="DM21" i="2"/>
  <c r="DM22" i="2"/>
  <c r="DM23" i="2"/>
  <c r="DM24" i="2"/>
  <c r="DM25" i="2"/>
  <c r="DM26" i="2"/>
  <c r="DM27" i="2"/>
  <c r="DM28" i="2"/>
  <c r="DM29" i="2"/>
  <c r="DM12" i="2"/>
  <c r="DO13" i="2"/>
  <c r="DO14" i="2"/>
  <c r="DS14" i="2" s="1"/>
  <c r="DO15" i="2"/>
  <c r="DS15" i="2" s="1"/>
  <c r="DO16" i="2"/>
  <c r="DS16" i="2" s="1"/>
  <c r="DO17" i="2"/>
  <c r="DS17" i="2" s="1"/>
  <c r="DO18" i="2"/>
  <c r="DS18" i="2" s="1"/>
  <c r="DO19" i="2"/>
  <c r="DS19" i="2" s="1"/>
  <c r="DO20" i="2"/>
  <c r="DS20" i="2" s="1"/>
  <c r="DO21" i="2"/>
  <c r="DS21" i="2" s="1"/>
  <c r="DO22" i="2"/>
  <c r="DS22" i="2" s="1"/>
  <c r="DO23" i="2"/>
  <c r="DS23" i="2" s="1"/>
  <c r="DO24" i="2"/>
  <c r="DS24" i="2" s="1"/>
  <c r="DO25" i="2"/>
  <c r="DS25" i="2" s="1"/>
  <c r="DO26" i="2"/>
  <c r="DS26" i="2" s="1"/>
  <c r="DO27" i="2"/>
  <c r="DS27" i="2" s="1"/>
  <c r="DO28" i="2"/>
  <c r="DS28" i="2" s="1"/>
  <c r="DO29" i="2"/>
  <c r="DS29" i="2" s="1"/>
  <c r="DO12" i="2"/>
  <c r="FW33" i="2"/>
  <c r="BP31" i="18" s="1"/>
  <c r="FV33" i="2"/>
  <c r="FW32" i="2"/>
  <c r="BP30" i="18" s="1"/>
  <c r="FV32" i="2"/>
  <c r="FV13" i="2"/>
  <c r="FW13" i="2"/>
  <c r="BP11" i="18" s="1"/>
  <c r="FV14" i="2"/>
  <c r="FW14" i="2"/>
  <c r="BP12" i="18" s="1"/>
  <c r="FV15" i="2"/>
  <c r="FW15" i="2"/>
  <c r="BP13" i="18" s="1"/>
  <c r="FV16" i="2"/>
  <c r="FW16" i="2"/>
  <c r="BP14" i="18" s="1"/>
  <c r="FV17" i="2"/>
  <c r="FW17" i="2"/>
  <c r="BP15" i="18" s="1"/>
  <c r="FV18" i="2"/>
  <c r="FW18" i="2"/>
  <c r="BP16" i="18" s="1"/>
  <c r="FV19" i="2"/>
  <c r="FW19" i="2"/>
  <c r="BP17" i="18" s="1"/>
  <c r="FV20" i="2"/>
  <c r="FW20" i="2"/>
  <c r="BP18" i="18" s="1"/>
  <c r="FV21" i="2"/>
  <c r="FW21" i="2"/>
  <c r="BP19" i="18" s="1"/>
  <c r="FV22" i="2"/>
  <c r="FW22" i="2"/>
  <c r="BP20" i="18" s="1"/>
  <c r="FV23" i="2"/>
  <c r="FW23" i="2"/>
  <c r="BP21" i="18" s="1"/>
  <c r="FV24" i="2"/>
  <c r="FW24" i="2"/>
  <c r="BP22" i="18" s="1"/>
  <c r="FV25" i="2"/>
  <c r="FW25" i="2"/>
  <c r="BP23" i="18" s="1"/>
  <c r="FV26" i="2"/>
  <c r="FW26" i="2"/>
  <c r="BP24" i="18" s="1"/>
  <c r="FV27" i="2"/>
  <c r="FW27" i="2"/>
  <c r="BP25" i="18" s="1"/>
  <c r="FV28" i="2"/>
  <c r="FW28" i="2"/>
  <c r="BP26" i="18" s="1"/>
  <c r="FV29" i="2"/>
  <c r="FW29" i="2"/>
  <c r="BP27" i="18" s="1"/>
  <c r="FW12" i="2"/>
  <c r="BP10" i="18" s="1"/>
  <c r="FV12" i="2"/>
  <c r="GC33" i="2"/>
  <c r="BX31" i="18" s="1"/>
  <c r="GB33" i="2"/>
  <c r="GC32" i="2"/>
  <c r="BX30" i="18" s="1"/>
  <c r="GB32" i="2"/>
  <c r="GB13" i="2"/>
  <c r="GC13" i="2"/>
  <c r="GB14" i="2"/>
  <c r="GE14" i="2" s="1"/>
  <c r="GC14" i="2"/>
  <c r="GB15" i="2"/>
  <c r="GE15" i="2" s="1"/>
  <c r="GC15" i="2"/>
  <c r="GF15" i="2" s="1"/>
  <c r="GB17" i="2"/>
  <c r="GC17" i="2"/>
  <c r="GB18" i="2"/>
  <c r="GE18" i="2" s="1"/>
  <c r="GC18" i="2"/>
  <c r="GF18" i="2" s="1"/>
  <c r="GB19" i="2"/>
  <c r="GE19" i="2" s="1"/>
  <c r="GC19" i="2"/>
  <c r="GF19" i="2" s="1"/>
  <c r="GB21" i="2"/>
  <c r="GE21" i="2" s="1"/>
  <c r="GC21" i="2"/>
  <c r="GF21" i="2" s="1"/>
  <c r="GB22" i="2"/>
  <c r="GE22" i="2" s="1"/>
  <c r="GC22" i="2"/>
  <c r="GF22" i="2" s="1"/>
  <c r="GB23" i="2"/>
  <c r="GE23" i="2" s="1"/>
  <c r="GC23" i="2"/>
  <c r="GB24" i="2"/>
  <c r="GC24" i="2"/>
  <c r="GB25" i="2"/>
  <c r="GC25" i="2"/>
  <c r="GB26" i="2"/>
  <c r="GC26" i="2"/>
  <c r="GB27" i="2"/>
  <c r="GC27" i="2"/>
  <c r="GB28" i="2"/>
  <c r="GE28" i="2" s="1"/>
  <c r="GC28" i="2"/>
  <c r="GF28" i="2" s="1"/>
  <c r="GB29" i="2"/>
  <c r="GC29" i="2"/>
  <c r="GC12" i="2"/>
  <c r="GB12" i="2"/>
  <c r="GH29" i="2"/>
  <c r="GK29" i="2" s="1"/>
  <c r="GI29" i="2"/>
  <c r="GL29" i="2" s="1"/>
  <c r="CB27" i="18" s="1"/>
  <c r="GH13" i="2"/>
  <c r="GI13" i="2"/>
  <c r="GH14" i="2"/>
  <c r="GK14" i="2" s="1"/>
  <c r="GI14" i="2"/>
  <c r="GL14" i="2" s="1"/>
  <c r="GH15" i="2"/>
  <c r="GI15" i="2"/>
  <c r="GH16" i="2"/>
  <c r="GI16" i="2"/>
  <c r="GH17" i="2"/>
  <c r="GI17" i="2"/>
  <c r="GH18" i="2"/>
  <c r="GI18" i="2"/>
  <c r="GH20" i="2"/>
  <c r="GI20" i="2"/>
  <c r="GH21" i="2"/>
  <c r="GK21" i="2" s="1"/>
  <c r="GI21" i="2"/>
  <c r="GL21" i="2" s="1"/>
  <c r="GH22" i="2"/>
  <c r="GI22" i="2"/>
  <c r="GH23" i="2"/>
  <c r="GI23" i="2"/>
  <c r="GH24" i="2"/>
  <c r="GK24" i="2" s="1"/>
  <c r="GI24" i="2"/>
  <c r="GL24" i="2" s="1"/>
  <c r="CB22" i="18" s="1"/>
  <c r="GH25" i="2"/>
  <c r="GK25" i="2" s="1"/>
  <c r="GI25" i="2"/>
  <c r="GL25" i="2" s="1"/>
  <c r="CB23" i="18" s="1"/>
  <c r="GH26" i="2"/>
  <c r="GK26" i="2" s="1"/>
  <c r="GI26" i="2"/>
  <c r="GL26" i="2" s="1"/>
  <c r="GH27" i="2"/>
  <c r="GK27" i="2" s="1"/>
  <c r="GI27" i="2"/>
  <c r="GL27" i="2" s="1"/>
  <c r="CB25" i="18" s="1"/>
  <c r="GH28" i="2"/>
  <c r="GI28" i="2"/>
  <c r="GI12" i="2"/>
  <c r="GL12" i="2" s="1"/>
  <c r="CB10" i="18" s="1"/>
  <c r="GH12" i="2"/>
  <c r="GK12" i="2" s="1"/>
  <c r="GT13" i="2"/>
  <c r="GU13" i="2"/>
  <c r="CA11" i="18" s="1"/>
  <c r="G11" i="18" s="1"/>
  <c r="GT14" i="2"/>
  <c r="GU14" i="2"/>
  <c r="CA12" i="18" s="1"/>
  <c r="GT15" i="2"/>
  <c r="GU15" i="2"/>
  <c r="CA13" i="18" s="1"/>
  <c r="G13" i="18" s="1"/>
  <c r="GT16" i="2"/>
  <c r="GU16" i="2"/>
  <c r="CA14" i="18" s="1"/>
  <c r="G14" i="18" s="1"/>
  <c r="GT17" i="2"/>
  <c r="GU17" i="2"/>
  <c r="CA15" i="18" s="1"/>
  <c r="G15" i="18" s="1"/>
  <c r="GT18" i="2"/>
  <c r="GU18" i="2"/>
  <c r="CA16" i="18" s="1"/>
  <c r="G16" i="18" s="1"/>
  <c r="GT20" i="2"/>
  <c r="GU20" i="2"/>
  <c r="CA18" i="18" s="1"/>
  <c r="G18" i="18" s="1"/>
  <c r="GT21" i="2"/>
  <c r="GU21" i="2"/>
  <c r="CA19" i="18" s="1"/>
  <c r="G19" i="18" s="1"/>
  <c r="GT22" i="2"/>
  <c r="GU22" i="2"/>
  <c r="CA20" i="18" s="1"/>
  <c r="G20" i="18" s="1"/>
  <c r="GT23" i="2"/>
  <c r="GU23" i="2"/>
  <c r="CA21" i="18" s="1"/>
  <c r="G21" i="18" s="1"/>
  <c r="GT24" i="2"/>
  <c r="GU24" i="2"/>
  <c r="CA22" i="18" s="1"/>
  <c r="G22" i="18" s="1"/>
  <c r="GT25" i="2"/>
  <c r="GU25" i="2"/>
  <c r="CA23" i="18" s="1"/>
  <c r="G23" i="18" s="1"/>
  <c r="GT26" i="2"/>
  <c r="GU26" i="2"/>
  <c r="CA24" i="18" s="1"/>
  <c r="G24" i="18" s="1"/>
  <c r="GT27" i="2"/>
  <c r="GU27" i="2"/>
  <c r="CA25" i="18" s="1"/>
  <c r="G25" i="18" s="1"/>
  <c r="GT28" i="2"/>
  <c r="GU28" i="2"/>
  <c r="CA26" i="18" s="1"/>
  <c r="G26" i="18" s="1"/>
  <c r="GT29" i="2"/>
  <c r="GU29" i="2"/>
  <c r="CA27" i="18" s="1"/>
  <c r="G27" i="18" s="1"/>
  <c r="GU12" i="2"/>
  <c r="CA10" i="18" s="1"/>
  <c r="GT12" i="2"/>
  <c r="EU33" i="2"/>
  <c r="AJ31" i="18" s="1"/>
  <c r="AK31" i="18" s="1"/>
  <c r="ET33" i="2"/>
  <c r="EU32" i="2"/>
  <c r="AJ30" i="18" s="1"/>
  <c r="ET32" i="2"/>
  <c r="ET13" i="2"/>
  <c r="EU13" i="2"/>
  <c r="AJ11" i="18" s="1"/>
  <c r="AK11" i="18" s="1"/>
  <c r="ET14" i="2"/>
  <c r="EU14" i="2"/>
  <c r="AJ12" i="18" s="1"/>
  <c r="AK12" i="18" s="1"/>
  <c r="ET15" i="2"/>
  <c r="EU15" i="2"/>
  <c r="AJ13" i="18" s="1"/>
  <c r="AK13" i="18" s="1"/>
  <c r="ET16" i="2"/>
  <c r="EU16" i="2"/>
  <c r="AJ14" i="18" s="1"/>
  <c r="AK14" i="18" s="1"/>
  <c r="ET17" i="2"/>
  <c r="EU17" i="2"/>
  <c r="AJ15" i="18" s="1"/>
  <c r="AK15" i="18" s="1"/>
  <c r="ET18" i="2"/>
  <c r="EU18" i="2"/>
  <c r="AJ16" i="18" s="1"/>
  <c r="AK16" i="18" s="1"/>
  <c r="ET19" i="2"/>
  <c r="EU19" i="2"/>
  <c r="AJ17" i="18" s="1"/>
  <c r="AK17" i="18" s="1"/>
  <c r="ET20" i="2"/>
  <c r="EU20" i="2"/>
  <c r="AJ18" i="18" s="1"/>
  <c r="AK18" i="18" s="1"/>
  <c r="ET21" i="2"/>
  <c r="EU21" i="2"/>
  <c r="AJ19" i="18" s="1"/>
  <c r="AK19" i="18" s="1"/>
  <c r="ET22" i="2"/>
  <c r="EU22" i="2"/>
  <c r="AJ20" i="18" s="1"/>
  <c r="AK20" i="18" s="1"/>
  <c r="ET23" i="2"/>
  <c r="EU23" i="2"/>
  <c r="AJ21" i="18" s="1"/>
  <c r="AK21" i="18" s="1"/>
  <c r="ET24" i="2"/>
  <c r="EU24" i="2"/>
  <c r="AJ22" i="18" s="1"/>
  <c r="AK22" i="18" s="1"/>
  <c r="ET25" i="2"/>
  <c r="EU25" i="2"/>
  <c r="AJ23" i="18" s="1"/>
  <c r="AK23" i="18" s="1"/>
  <c r="ET26" i="2"/>
  <c r="EU26" i="2"/>
  <c r="AJ24" i="18" s="1"/>
  <c r="AK24" i="18" s="1"/>
  <c r="ET27" i="2"/>
  <c r="EU27" i="2"/>
  <c r="AJ25" i="18" s="1"/>
  <c r="AK25" i="18" s="1"/>
  <c r="ET28" i="2"/>
  <c r="EU28" i="2"/>
  <c r="AJ26" i="18" s="1"/>
  <c r="AK26" i="18" s="1"/>
  <c r="ET29" i="2"/>
  <c r="EU29" i="2"/>
  <c r="AJ27" i="18" s="1"/>
  <c r="AK27" i="18" s="1"/>
  <c r="EU12" i="2"/>
  <c r="AJ10" i="18" s="1"/>
  <c r="ET12" i="2"/>
  <c r="X29" i="3"/>
  <c r="V29" i="3"/>
  <c r="T29" i="3"/>
  <c r="R29" i="3"/>
  <c r="P29" i="3"/>
  <c r="N29" i="3"/>
  <c r="L29" i="3"/>
  <c r="J29" i="3"/>
  <c r="H29" i="3"/>
  <c r="D29" i="3"/>
  <c r="V28" i="3"/>
  <c r="T28" i="3"/>
  <c r="R28" i="3"/>
  <c r="P28" i="3"/>
  <c r="N28" i="3"/>
  <c r="L28" i="3"/>
  <c r="J28" i="3"/>
  <c r="H28" i="3"/>
  <c r="D28" i="3"/>
  <c r="AD25" i="3"/>
  <c r="Z25" i="3"/>
  <c r="X25" i="3"/>
  <c r="V25" i="3"/>
  <c r="T25" i="3"/>
  <c r="U25" i="3" s="1"/>
  <c r="R25" i="3"/>
  <c r="P25" i="3"/>
  <c r="N25" i="3"/>
  <c r="L25" i="3"/>
  <c r="J25" i="3"/>
  <c r="H25" i="3"/>
  <c r="D25" i="3"/>
  <c r="X24" i="3"/>
  <c r="V24" i="3"/>
  <c r="T24" i="3"/>
  <c r="U24" i="3" s="1"/>
  <c r="R24" i="3"/>
  <c r="P24" i="3"/>
  <c r="N24" i="3"/>
  <c r="L24" i="3"/>
  <c r="J24" i="3"/>
  <c r="H24" i="3"/>
  <c r="D24" i="3"/>
  <c r="X23" i="3"/>
  <c r="V23" i="3"/>
  <c r="T23" i="3"/>
  <c r="U23" i="3" s="1"/>
  <c r="R23" i="3"/>
  <c r="P23" i="3"/>
  <c r="N23" i="3"/>
  <c r="L23" i="3"/>
  <c r="J23" i="3"/>
  <c r="H23" i="3"/>
  <c r="D23" i="3"/>
  <c r="Z22" i="3"/>
  <c r="X22" i="3"/>
  <c r="V22" i="3"/>
  <c r="T22" i="3"/>
  <c r="U22" i="3" s="1"/>
  <c r="R22" i="3"/>
  <c r="P22" i="3"/>
  <c r="N22" i="3"/>
  <c r="L22" i="3"/>
  <c r="J22" i="3"/>
  <c r="H22" i="3"/>
  <c r="D22" i="3"/>
  <c r="AD21" i="3"/>
  <c r="X21" i="3"/>
  <c r="V21" i="3"/>
  <c r="T21" i="3"/>
  <c r="U21" i="3" s="1"/>
  <c r="R21" i="3"/>
  <c r="P21" i="3"/>
  <c r="N21" i="3"/>
  <c r="L21" i="3"/>
  <c r="J21" i="3"/>
  <c r="H21" i="3"/>
  <c r="D21" i="3"/>
  <c r="Z20" i="3"/>
  <c r="X20" i="3"/>
  <c r="V20" i="3"/>
  <c r="T20" i="3"/>
  <c r="U20" i="3" s="1"/>
  <c r="R20" i="3"/>
  <c r="P20" i="3"/>
  <c r="N20" i="3"/>
  <c r="L20" i="3"/>
  <c r="J20" i="3"/>
  <c r="H20" i="3"/>
  <c r="D20" i="3"/>
  <c r="AD19" i="3"/>
  <c r="X19" i="3"/>
  <c r="V19" i="3"/>
  <c r="T19" i="3"/>
  <c r="U19" i="3" s="1"/>
  <c r="R19" i="3"/>
  <c r="P19" i="3"/>
  <c r="N19" i="3"/>
  <c r="L19" i="3"/>
  <c r="J19" i="3"/>
  <c r="H19" i="3"/>
  <c r="D19" i="3"/>
  <c r="Z18" i="3"/>
  <c r="X18" i="3"/>
  <c r="V18" i="3"/>
  <c r="T18" i="3"/>
  <c r="U18" i="3" s="1"/>
  <c r="R18" i="3"/>
  <c r="P18" i="3"/>
  <c r="N18" i="3"/>
  <c r="L18" i="3"/>
  <c r="J18" i="3"/>
  <c r="H18" i="3"/>
  <c r="D18" i="3"/>
  <c r="AD17" i="3"/>
  <c r="Z17" i="3"/>
  <c r="X17" i="3"/>
  <c r="V17" i="3"/>
  <c r="T17" i="3"/>
  <c r="U17" i="3" s="1"/>
  <c r="R17" i="3"/>
  <c r="P17" i="3"/>
  <c r="N17" i="3"/>
  <c r="L17" i="3"/>
  <c r="J17" i="3"/>
  <c r="H17" i="3"/>
  <c r="D17" i="3"/>
  <c r="AD16" i="3"/>
  <c r="X16" i="3"/>
  <c r="V16" i="3"/>
  <c r="T16" i="3"/>
  <c r="U16" i="3" s="1"/>
  <c r="R16" i="3"/>
  <c r="P16" i="3"/>
  <c r="N16" i="3"/>
  <c r="L16" i="3"/>
  <c r="J16" i="3"/>
  <c r="H16" i="3"/>
  <c r="D16" i="3"/>
  <c r="AD15" i="3"/>
  <c r="X15" i="3"/>
  <c r="V15" i="3"/>
  <c r="T15" i="3"/>
  <c r="U15" i="3" s="1"/>
  <c r="R15" i="3"/>
  <c r="P15" i="3"/>
  <c r="N15" i="3"/>
  <c r="L15" i="3"/>
  <c r="J15" i="3"/>
  <c r="H15" i="3"/>
  <c r="D15" i="3"/>
  <c r="X14" i="3"/>
  <c r="V14" i="3"/>
  <c r="T14" i="3"/>
  <c r="U14" i="3" s="1"/>
  <c r="R14" i="3"/>
  <c r="P14" i="3"/>
  <c r="N14" i="3"/>
  <c r="L14" i="3"/>
  <c r="J14" i="3"/>
  <c r="H14" i="3"/>
  <c r="D14" i="3"/>
  <c r="AD13" i="3"/>
  <c r="X13" i="3"/>
  <c r="V13" i="3"/>
  <c r="T13" i="3"/>
  <c r="U13" i="3" s="1"/>
  <c r="R13" i="3"/>
  <c r="P13" i="3"/>
  <c r="N13" i="3"/>
  <c r="L13" i="3"/>
  <c r="J13" i="3"/>
  <c r="H13" i="3"/>
  <c r="D13" i="3"/>
  <c r="AD12" i="3"/>
  <c r="X12" i="3"/>
  <c r="V12" i="3"/>
  <c r="T12" i="3"/>
  <c r="U12" i="3" s="1"/>
  <c r="R12" i="3"/>
  <c r="P12" i="3"/>
  <c r="N12" i="3"/>
  <c r="L12" i="3"/>
  <c r="J12" i="3"/>
  <c r="H12" i="3"/>
  <c r="D12" i="3"/>
  <c r="AD11" i="3"/>
  <c r="X11" i="3"/>
  <c r="V11" i="3"/>
  <c r="T11" i="3"/>
  <c r="U11" i="3" s="1"/>
  <c r="R11" i="3"/>
  <c r="P11" i="3"/>
  <c r="N11" i="3"/>
  <c r="L11" i="3"/>
  <c r="J11" i="3"/>
  <c r="H11" i="3"/>
  <c r="D11" i="3"/>
  <c r="X10" i="3"/>
  <c r="V10" i="3"/>
  <c r="T10" i="3"/>
  <c r="U10" i="3" s="1"/>
  <c r="R10" i="3"/>
  <c r="P10" i="3"/>
  <c r="N10" i="3"/>
  <c r="L10" i="3"/>
  <c r="J10" i="3"/>
  <c r="H10" i="3"/>
  <c r="D10" i="3"/>
  <c r="AD9" i="3"/>
  <c r="Z9" i="3"/>
  <c r="X9" i="3"/>
  <c r="V9" i="3"/>
  <c r="T9" i="3"/>
  <c r="U9" i="3" s="1"/>
  <c r="R9" i="3"/>
  <c r="P9" i="3"/>
  <c r="N9" i="3"/>
  <c r="L9" i="3"/>
  <c r="J9" i="3"/>
  <c r="H9" i="3"/>
  <c r="D9" i="3"/>
  <c r="D8" i="3"/>
  <c r="H8" i="3"/>
  <c r="J8" i="3"/>
  <c r="L8" i="3"/>
  <c r="N8" i="3"/>
  <c r="P8" i="3"/>
  <c r="R8" i="3"/>
  <c r="T8" i="3"/>
  <c r="U8" i="3" s="1"/>
  <c r="V8" i="3"/>
  <c r="X8" i="3"/>
  <c r="Z8" i="3"/>
  <c r="AD8" i="3"/>
  <c r="AF29" i="3"/>
  <c r="AF28" i="3"/>
  <c r="AG28" i="3" s="1"/>
  <c r="BH29" i="3"/>
  <c r="BD29" i="3"/>
  <c r="AT29" i="3"/>
  <c r="AU29" i="3" s="1"/>
  <c r="AR29" i="3"/>
  <c r="AN29" i="3"/>
  <c r="AL29" i="3"/>
  <c r="AH29" i="3"/>
  <c r="BH28" i="3"/>
  <c r="BD28" i="3"/>
  <c r="AT28" i="3"/>
  <c r="AR28" i="3"/>
  <c r="AN28" i="3"/>
  <c r="AL28" i="3"/>
  <c r="AH28" i="3"/>
  <c r="AH9" i="3"/>
  <c r="AR9" i="3"/>
  <c r="AT9" i="3"/>
  <c r="BD9" i="3"/>
  <c r="BH9" i="3"/>
  <c r="BI9" i="3" s="1"/>
  <c r="AL10" i="3"/>
  <c r="AR10" i="3"/>
  <c r="AT10" i="3"/>
  <c r="BD10" i="3"/>
  <c r="BH10" i="3"/>
  <c r="BI10" i="3" s="1"/>
  <c r="AH11" i="3"/>
  <c r="AL11" i="3"/>
  <c r="AR11" i="3"/>
  <c r="AT11" i="3"/>
  <c r="BD11" i="3"/>
  <c r="BH11" i="3"/>
  <c r="BI11" i="3" s="1"/>
  <c r="AH12" i="3"/>
  <c r="AL12" i="3"/>
  <c r="AR12" i="3"/>
  <c r="AT12" i="3"/>
  <c r="BD12" i="3"/>
  <c r="BH12" i="3"/>
  <c r="BI12" i="3" s="1"/>
  <c r="AH13" i="3"/>
  <c r="AL13" i="3"/>
  <c r="AR13" i="3"/>
  <c r="AT13" i="3"/>
  <c r="BD13" i="3"/>
  <c r="BH13" i="3"/>
  <c r="BI13" i="3" s="1"/>
  <c r="AL14" i="3"/>
  <c r="AR14" i="3"/>
  <c r="AT14" i="3"/>
  <c r="BD14" i="3"/>
  <c r="BH14" i="3"/>
  <c r="BI14" i="3" s="1"/>
  <c r="AH15" i="3"/>
  <c r="AL15" i="3"/>
  <c r="AR15" i="3"/>
  <c r="AT15" i="3"/>
  <c r="BD15" i="3"/>
  <c r="BH15" i="3"/>
  <c r="BI15" i="3" s="1"/>
  <c r="AH16" i="3"/>
  <c r="AL16" i="3"/>
  <c r="AR16" i="3"/>
  <c r="AT16" i="3"/>
  <c r="BD16" i="3"/>
  <c r="BH16" i="3"/>
  <c r="BI16" i="3" s="1"/>
  <c r="AH17" i="3"/>
  <c r="AL17" i="3"/>
  <c r="AR17" i="3"/>
  <c r="AT17" i="3"/>
  <c r="BD17" i="3"/>
  <c r="BH17" i="3"/>
  <c r="BI17" i="3" s="1"/>
  <c r="AH18" i="3"/>
  <c r="AL18" i="3"/>
  <c r="AR18" i="3"/>
  <c r="AT18" i="3"/>
  <c r="BD18" i="3"/>
  <c r="BH18" i="3"/>
  <c r="BI18" i="3" s="1"/>
  <c r="AL19" i="3"/>
  <c r="AR19" i="3"/>
  <c r="AT19" i="3"/>
  <c r="BD19" i="3"/>
  <c r="BH19" i="3"/>
  <c r="BI19" i="3" s="1"/>
  <c r="AH20" i="3"/>
  <c r="AL20" i="3"/>
  <c r="AR20" i="3"/>
  <c r="AT20" i="3"/>
  <c r="BD20" i="3"/>
  <c r="BH20" i="3"/>
  <c r="BI20" i="3" s="1"/>
  <c r="AL21" i="3"/>
  <c r="AR21" i="3"/>
  <c r="AT21" i="3"/>
  <c r="BD21" i="3"/>
  <c r="BH21" i="3"/>
  <c r="BI21" i="3" s="1"/>
  <c r="AH22" i="3"/>
  <c r="AL22" i="3"/>
  <c r="AR22" i="3"/>
  <c r="AT22" i="3"/>
  <c r="BD22" i="3"/>
  <c r="BH22" i="3"/>
  <c r="BI22" i="3" s="1"/>
  <c r="AH23" i="3"/>
  <c r="AL23" i="3"/>
  <c r="AR23" i="3"/>
  <c r="AT23" i="3"/>
  <c r="BD23" i="3"/>
  <c r="BH23" i="3"/>
  <c r="BI23" i="3" s="1"/>
  <c r="AH24" i="3"/>
  <c r="AL24" i="3"/>
  <c r="AR24" i="3"/>
  <c r="AT24" i="3"/>
  <c r="BD24" i="3"/>
  <c r="BH24" i="3"/>
  <c r="BI24" i="3" s="1"/>
  <c r="AL25" i="3"/>
  <c r="AR25" i="3"/>
  <c r="AT25" i="3"/>
  <c r="BD25" i="3"/>
  <c r="BH25" i="3"/>
  <c r="BI25" i="3" s="1"/>
  <c r="AH8" i="3"/>
  <c r="AL8" i="3"/>
  <c r="AR8" i="3"/>
  <c r="AT8" i="3"/>
  <c r="BD8" i="3"/>
  <c r="BH8" i="3"/>
  <c r="BI8" i="3" s="1"/>
  <c r="H9" i="4"/>
  <c r="I9" i="4" s="1"/>
  <c r="L9" i="4"/>
  <c r="M9" i="4" s="1"/>
  <c r="N9" i="4"/>
  <c r="O9" i="4" s="1"/>
  <c r="Q9" i="4" s="1"/>
  <c r="R9" i="4"/>
  <c r="T9" i="4"/>
  <c r="W9" i="4"/>
  <c r="X9" i="4"/>
  <c r="AF9" i="4"/>
  <c r="AG9" i="4" s="1"/>
  <c r="AJ9" i="4"/>
  <c r="AK9" i="4" s="1"/>
  <c r="AU9" i="4"/>
  <c r="AV9" i="4"/>
  <c r="BJ9" i="4"/>
  <c r="BN9" i="4"/>
  <c r="BV9" i="4"/>
  <c r="BY9" i="4"/>
  <c r="BZ9" i="4"/>
  <c r="CB9" i="4"/>
  <c r="CE9" i="4"/>
  <c r="CF9" i="4"/>
  <c r="CR9" i="4"/>
  <c r="CS9" i="4" s="1"/>
  <c r="H10" i="4"/>
  <c r="I10" i="4" s="1"/>
  <c r="L10" i="4"/>
  <c r="M10" i="4" s="1"/>
  <c r="W10" i="4"/>
  <c r="X10" i="4"/>
  <c r="AF10" i="4"/>
  <c r="AG10" i="4" s="1"/>
  <c r="AJ10" i="4"/>
  <c r="AU10" i="4"/>
  <c r="AV10" i="4"/>
  <c r="BJ10" i="4"/>
  <c r="BN10" i="4"/>
  <c r="BV10" i="4"/>
  <c r="BY10" i="4"/>
  <c r="BZ10" i="4"/>
  <c r="CB10" i="4"/>
  <c r="CE10" i="4"/>
  <c r="CF10" i="4"/>
  <c r="CR10" i="4"/>
  <c r="CS10" i="4" s="1"/>
  <c r="H11" i="4"/>
  <c r="I11" i="4" s="1"/>
  <c r="L11" i="4"/>
  <c r="M11" i="4" s="1"/>
  <c r="Q11" i="4"/>
  <c r="R11" i="4"/>
  <c r="W11" i="4"/>
  <c r="X11" i="4"/>
  <c r="AF11" i="4"/>
  <c r="AG11" i="4" s="1"/>
  <c r="AJ11" i="4"/>
  <c r="AU11" i="4"/>
  <c r="AV11" i="4"/>
  <c r="BJ11" i="4"/>
  <c r="BN11" i="4"/>
  <c r="BV11" i="4"/>
  <c r="BY11" i="4"/>
  <c r="BZ11" i="4"/>
  <c r="CB11" i="4"/>
  <c r="CE11" i="4"/>
  <c r="CF11" i="4"/>
  <c r="CR11" i="4"/>
  <c r="CS11" i="4" s="1"/>
  <c r="CX11" i="4"/>
  <c r="H12" i="4"/>
  <c r="I12" i="4" s="1"/>
  <c r="L12" i="4"/>
  <c r="M12" i="4" s="1"/>
  <c r="Q12" i="4"/>
  <c r="R12" i="4"/>
  <c r="T12" i="4"/>
  <c r="W12" i="4"/>
  <c r="X12" i="4"/>
  <c r="AF12" i="4"/>
  <c r="AG12" i="4" s="1"/>
  <c r="AJ12" i="4"/>
  <c r="AU12" i="4"/>
  <c r="AV12" i="4"/>
  <c r="BJ12" i="4"/>
  <c r="BN12" i="4"/>
  <c r="BV12" i="4"/>
  <c r="BY12" i="4"/>
  <c r="BZ12" i="4"/>
  <c r="CB12" i="4"/>
  <c r="CE12" i="4"/>
  <c r="CF12" i="4"/>
  <c r="CR12" i="4"/>
  <c r="CS12" i="4" s="1"/>
  <c r="CX12" i="4"/>
  <c r="H13" i="4"/>
  <c r="I13" i="4" s="1"/>
  <c r="L13" i="4"/>
  <c r="M13" i="4" s="1"/>
  <c r="Q13" i="4"/>
  <c r="R13" i="4"/>
  <c r="T13" i="4"/>
  <c r="W13" i="4"/>
  <c r="X13" i="4"/>
  <c r="AJ13" i="4"/>
  <c r="AU13" i="4"/>
  <c r="AV13" i="4"/>
  <c r="BJ13" i="4"/>
  <c r="BN13" i="4"/>
  <c r="BV13" i="4"/>
  <c r="BY13" i="4"/>
  <c r="BZ13" i="4"/>
  <c r="CB13" i="4"/>
  <c r="CE13" i="4"/>
  <c r="CF13" i="4"/>
  <c r="CR13" i="4"/>
  <c r="CX13" i="4"/>
  <c r="H14" i="4"/>
  <c r="I14" i="4" s="1"/>
  <c r="L14" i="4"/>
  <c r="M14" i="4" s="1"/>
  <c r="R14" i="4"/>
  <c r="T14" i="4"/>
  <c r="W14" i="4"/>
  <c r="X14" i="4"/>
  <c r="AJ14" i="4"/>
  <c r="AV14" i="4"/>
  <c r="BJ14" i="4"/>
  <c r="BN14" i="4"/>
  <c r="BV14" i="4"/>
  <c r="BY14" i="4"/>
  <c r="BZ14" i="4"/>
  <c r="CB14" i="4"/>
  <c r="CE14" i="4"/>
  <c r="CF14" i="4"/>
  <c r="CR14" i="4"/>
  <c r="CS14" i="4" s="1"/>
  <c r="CX14" i="4"/>
  <c r="H15" i="4"/>
  <c r="I15" i="4" s="1"/>
  <c r="L15" i="4"/>
  <c r="M15" i="4" s="1"/>
  <c r="Q15" i="4"/>
  <c r="R15" i="4"/>
  <c r="T15" i="4"/>
  <c r="W15" i="4"/>
  <c r="X15" i="4"/>
  <c r="AJ15" i="4"/>
  <c r="AK15" i="4" s="1"/>
  <c r="AU15" i="4"/>
  <c r="AV15" i="4"/>
  <c r="BJ15" i="4"/>
  <c r="BN15" i="4"/>
  <c r="BV15" i="4"/>
  <c r="BY15" i="4"/>
  <c r="BZ15" i="4"/>
  <c r="CB15" i="4"/>
  <c r="CE15" i="4"/>
  <c r="CF15" i="4"/>
  <c r="CR15" i="4"/>
  <c r="CS15" i="4" s="1"/>
  <c r="CX15" i="4"/>
  <c r="CY15" i="4" s="1"/>
  <c r="H16" i="4"/>
  <c r="I16" i="4" s="1"/>
  <c r="L16" i="4"/>
  <c r="M16" i="4" s="1"/>
  <c r="Q16" i="4"/>
  <c r="R16" i="4"/>
  <c r="T16" i="4"/>
  <c r="W16" i="4"/>
  <c r="X16" i="4"/>
  <c r="AF16" i="4"/>
  <c r="AG16" i="4" s="1"/>
  <c r="AJ16" i="4"/>
  <c r="AU16" i="4"/>
  <c r="AV16" i="4"/>
  <c r="BJ16" i="4"/>
  <c r="BN16" i="4"/>
  <c r="BV16" i="4"/>
  <c r="BY16" i="4"/>
  <c r="BZ16" i="4"/>
  <c r="CB16" i="4"/>
  <c r="CC16" i="4" s="1"/>
  <c r="CE16" i="4" s="1"/>
  <c r="CF16" i="4"/>
  <c r="CR16" i="4"/>
  <c r="CX16" i="4"/>
  <c r="H17" i="4"/>
  <c r="I17" i="4" s="1"/>
  <c r="L17" i="4"/>
  <c r="M17" i="4" s="1"/>
  <c r="R17" i="4"/>
  <c r="T17" i="4"/>
  <c r="W17" i="4"/>
  <c r="X17" i="4"/>
  <c r="AF17" i="4"/>
  <c r="AG17" i="4" s="1"/>
  <c r="AI17" i="4" s="1"/>
  <c r="AJ17" i="4"/>
  <c r="AU17" i="4"/>
  <c r="AV17" i="4"/>
  <c r="BJ17" i="4"/>
  <c r="BN17" i="4"/>
  <c r="BV17" i="4"/>
  <c r="BY17" i="4"/>
  <c r="BZ17" i="4"/>
  <c r="CB17" i="4"/>
  <c r="CE17" i="4"/>
  <c r="CF17" i="4"/>
  <c r="CR17" i="4"/>
  <c r="CS17" i="4" s="1"/>
  <c r="CX17" i="4"/>
  <c r="H18" i="4"/>
  <c r="I18" i="4" s="1"/>
  <c r="L18" i="4"/>
  <c r="M18" i="4" s="1"/>
  <c r="Q18" i="4"/>
  <c r="R18" i="4"/>
  <c r="T18" i="4"/>
  <c r="W18" i="4"/>
  <c r="X18" i="4"/>
  <c r="AF18" i="4"/>
  <c r="AG18" i="4" s="1"/>
  <c r="AI18" i="4" s="1"/>
  <c r="AJ18" i="4"/>
  <c r="BJ18" i="4"/>
  <c r="BN18" i="4"/>
  <c r="BV18" i="4"/>
  <c r="BY18" i="4"/>
  <c r="BZ18" i="4"/>
  <c r="CB18" i="4"/>
  <c r="CE18" i="4"/>
  <c r="CF18" i="4"/>
  <c r="CR18" i="4"/>
  <c r="CS18" i="4" s="1"/>
  <c r="H19" i="4"/>
  <c r="I19" i="4" s="1"/>
  <c r="L19" i="4"/>
  <c r="M19" i="4" s="1"/>
  <c r="N19" i="4"/>
  <c r="Q19" i="4"/>
  <c r="R19" i="4"/>
  <c r="T19" i="4"/>
  <c r="X19" i="4"/>
  <c r="AJ19" i="4"/>
  <c r="AR19" i="4"/>
  <c r="AU19" i="4"/>
  <c r="AV19" i="4"/>
  <c r="BJ19" i="4"/>
  <c r="BN19" i="4"/>
  <c r="BV19" i="4"/>
  <c r="BY19" i="4"/>
  <c r="BZ19" i="4"/>
  <c r="CB19" i="4"/>
  <c r="CE19" i="4"/>
  <c r="CF19" i="4"/>
  <c r="CR19" i="4"/>
  <c r="CS19" i="4" s="1"/>
  <c r="CX19" i="4"/>
  <c r="H20" i="4"/>
  <c r="I20" i="4" s="1"/>
  <c r="L20" i="4"/>
  <c r="M20" i="4" s="1"/>
  <c r="R20" i="4"/>
  <c r="T20" i="4"/>
  <c r="X20" i="4"/>
  <c r="AF20" i="4"/>
  <c r="AG20" i="4" s="1"/>
  <c r="AI20" i="4" s="1"/>
  <c r="AJ20" i="4"/>
  <c r="AU20" i="4"/>
  <c r="AV20" i="4"/>
  <c r="BJ20" i="4"/>
  <c r="BN20" i="4"/>
  <c r="BV20" i="4"/>
  <c r="BY20" i="4"/>
  <c r="BZ20" i="4"/>
  <c r="CB20" i="4"/>
  <c r="CE20" i="4"/>
  <c r="CF20" i="4"/>
  <c r="CR20" i="4"/>
  <c r="CS20" i="4" s="1"/>
  <c r="CX20" i="4"/>
  <c r="H21" i="4"/>
  <c r="I21" i="4" s="1"/>
  <c r="L21" i="4"/>
  <c r="M21" i="4" s="1"/>
  <c r="Q21" i="4"/>
  <c r="R21" i="4"/>
  <c r="T21" i="4"/>
  <c r="X21" i="4"/>
  <c r="AF21" i="4"/>
  <c r="AG21" i="4" s="1"/>
  <c r="AI21" i="4" s="1"/>
  <c r="AJ21" i="4"/>
  <c r="AU21" i="4"/>
  <c r="AV21" i="4"/>
  <c r="BJ21" i="4"/>
  <c r="BN21" i="4"/>
  <c r="BV21" i="4"/>
  <c r="BY21" i="4"/>
  <c r="BZ21" i="4"/>
  <c r="CB21" i="4"/>
  <c r="CE21" i="4"/>
  <c r="CF21" i="4"/>
  <c r="CR21" i="4"/>
  <c r="CX21" i="4"/>
  <c r="H22" i="4"/>
  <c r="I22" i="4" s="1"/>
  <c r="L22" i="4"/>
  <c r="M22" i="4" s="1"/>
  <c r="N22" i="4"/>
  <c r="Q22" i="4"/>
  <c r="R22" i="4"/>
  <c r="W22" i="4"/>
  <c r="X22" i="4"/>
  <c r="AF22" i="4"/>
  <c r="AG22" i="4" s="1"/>
  <c r="AJ22" i="4"/>
  <c r="AU22" i="4"/>
  <c r="AV22" i="4"/>
  <c r="BJ22" i="4"/>
  <c r="BN22" i="4"/>
  <c r="BV22" i="4"/>
  <c r="BY22" i="4"/>
  <c r="BZ22" i="4"/>
  <c r="CB22" i="4"/>
  <c r="CE22" i="4"/>
  <c r="CF22" i="4"/>
  <c r="CR22" i="4"/>
  <c r="CX22" i="4"/>
  <c r="H23" i="4"/>
  <c r="I23" i="4" s="1"/>
  <c r="L23" i="4"/>
  <c r="M23" i="4" s="1"/>
  <c r="N23" i="4"/>
  <c r="Q23" i="4"/>
  <c r="R23" i="4"/>
  <c r="W23" i="4"/>
  <c r="X23" i="4"/>
  <c r="AF23" i="4"/>
  <c r="AG23" i="4" s="1"/>
  <c r="AI23" i="4" s="1"/>
  <c r="AJ23" i="4"/>
  <c r="AU23" i="4"/>
  <c r="AV23" i="4"/>
  <c r="BJ23" i="4"/>
  <c r="BN23" i="4"/>
  <c r="BV23" i="4"/>
  <c r="BY23" i="4"/>
  <c r="BZ23" i="4"/>
  <c r="CB23" i="4"/>
  <c r="CE23" i="4"/>
  <c r="CF23" i="4"/>
  <c r="CR23" i="4"/>
  <c r="CS23" i="4" s="1"/>
  <c r="H24" i="4"/>
  <c r="I24" i="4" s="1"/>
  <c r="L24" i="4"/>
  <c r="M24" i="4" s="1"/>
  <c r="N24" i="4"/>
  <c r="Q24" i="4"/>
  <c r="R24" i="4"/>
  <c r="T24" i="4"/>
  <c r="W24" i="4"/>
  <c r="X24" i="4"/>
  <c r="AF24" i="4"/>
  <c r="AG24" i="4" s="1"/>
  <c r="AJ24" i="4"/>
  <c r="AU24" i="4"/>
  <c r="AV24" i="4"/>
  <c r="BJ24" i="4"/>
  <c r="BN24" i="4"/>
  <c r="BV24" i="4"/>
  <c r="BY24" i="4"/>
  <c r="BZ24" i="4"/>
  <c r="CB24" i="4"/>
  <c r="CE24" i="4"/>
  <c r="CF24" i="4"/>
  <c r="CR24" i="4"/>
  <c r="CX24" i="4"/>
  <c r="H25" i="4"/>
  <c r="I25" i="4" s="1"/>
  <c r="L25" i="4"/>
  <c r="M25" i="4" s="1"/>
  <c r="N25" i="4"/>
  <c r="Q25" i="4"/>
  <c r="R25" i="4"/>
  <c r="T25" i="4"/>
  <c r="W25" i="4" s="1"/>
  <c r="X25" i="4"/>
  <c r="AF25" i="4"/>
  <c r="AG25" i="4" s="1"/>
  <c r="AJ25" i="4"/>
  <c r="AV25" i="4"/>
  <c r="AW25" i="4" s="1"/>
  <c r="AU25" i="4" s="1"/>
  <c r="BJ25" i="4"/>
  <c r="BN25" i="4"/>
  <c r="BV25" i="4"/>
  <c r="BY25" i="4"/>
  <c r="BZ25" i="4"/>
  <c r="CB25" i="4"/>
  <c r="CE25" i="4"/>
  <c r="CF25" i="4"/>
  <c r="CR25" i="4"/>
  <c r="CS25" i="4" s="1"/>
  <c r="CX25" i="4"/>
  <c r="CY25" i="4" s="1"/>
  <c r="H8" i="4"/>
  <c r="I8" i="4" s="1"/>
  <c r="L8" i="4"/>
  <c r="M8" i="4" s="1"/>
  <c r="R8" i="4"/>
  <c r="X8" i="4"/>
  <c r="AJ8" i="4"/>
  <c r="AU8" i="4"/>
  <c r="AV8" i="4"/>
  <c r="BJ8" i="4"/>
  <c r="BN8" i="4"/>
  <c r="BV8" i="4"/>
  <c r="BZ8" i="4"/>
  <c r="CB8" i="4"/>
  <c r="CF8" i="4"/>
  <c r="CR8" i="4"/>
  <c r="CS8" i="4" s="1"/>
  <c r="CX8" i="4"/>
  <c r="C31" i="18" l="1"/>
  <c r="AI9" i="4"/>
  <c r="CC20" i="18"/>
  <c r="I20" i="18" s="1"/>
  <c r="CB20" i="18"/>
  <c r="H20" i="18" s="1"/>
  <c r="I183" i="8"/>
  <c r="CS28" i="18"/>
  <c r="CS35" i="18" s="1"/>
  <c r="G12" i="18"/>
  <c r="D30" i="18"/>
  <c r="AB35" i="18"/>
  <c r="H186" i="8"/>
  <c r="G186" i="8"/>
  <c r="I186" i="8" s="1"/>
  <c r="AQ30" i="2"/>
  <c r="AQ37" i="2" s="1"/>
  <c r="CF32" i="18"/>
  <c r="W20" i="4"/>
  <c r="JP14" i="2"/>
  <c r="CK32" i="18"/>
  <c r="I30" i="18"/>
  <c r="I32" i="18" s="1"/>
  <c r="I39" i="18" s="1"/>
  <c r="H30" i="18"/>
  <c r="CJ32" i="18"/>
  <c r="CU28" i="18"/>
  <c r="CU35" i="18" s="1"/>
  <c r="K12" i="18"/>
  <c r="JP19" i="2"/>
  <c r="W13" i="3"/>
  <c r="W20" i="3"/>
  <c r="W21" i="3"/>
  <c r="CB26" i="18"/>
  <c r="CC26" i="18"/>
  <c r="CC16" i="18"/>
  <c r="I16" i="18" s="1"/>
  <c r="CB16" i="18"/>
  <c r="H16" i="18" s="1"/>
  <c r="W9" i="3"/>
  <c r="W10" i="3"/>
  <c r="W14" i="3"/>
  <c r="W22" i="3"/>
  <c r="W23" i="3"/>
  <c r="W24" i="3"/>
  <c r="W8" i="3"/>
  <c r="W11" i="3"/>
  <c r="W15" i="3"/>
  <c r="W16" i="3"/>
  <c r="W25" i="3"/>
  <c r="CC13" i="18"/>
  <c r="CB13" i="18"/>
  <c r="W17" i="3"/>
  <c r="W18" i="3"/>
  <c r="CG32" i="18"/>
  <c r="BX32" i="18"/>
  <c r="CK17" i="18"/>
  <c r="CV28" i="18"/>
  <c r="CV35" i="18" s="1"/>
  <c r="CV36" i="18" s="1"/>
  <c r="CG28" i="18"/>
  <c r="CG35" i="18" s="1"/>
  <c r="CK25" i="18"/>
  <c r="I25" i="18" s="1"/>
  <c r="CF28" i="18"/>
  <c r="CK13" i="18"/>
  <c r="CJ13" i="18"/>
  <c r="CK18" i="18"/>
  <c r="CJ18" i="18"/>
  <c r="CK11" i="18"/>
  <c r="I11" i="18" s="1"/>
  <c r="CJ11" i="18"/>
  <c r="H11" i="18" s="1"/>
  <c r="E31" i="18"/>
  <c r="CJ17" i="18"/>
  <c r="BY27" i="18"/>
  <c r="E27" i="18" s="1"/>
  <c r="BX27" i="18"/>
  <c r="D27" i="18" s="1"/>
  <c r="BY25" i="18"/>
  <c r="E25" i="18" s="1"/>
  <c r="BX25" i="18"/>
  <c r="D25" i="18" s="1"/>
  <c r="BY23" i="18"/>
  <c r="E23" i="18" s="1"/>
  <c r="BX23" i="18"/>
  <c r="D23" i="18" s="1"/>
  <c r="BY21" i="18"/>
  <c r="E21" i="18" s="1"/>
  <c r="BX21" i="18"/>
  <c r="D21" i="18" s="1"/>
  <c r="BY19" i="18"/>
  <c r="E19" i="18" s="1"/>
  <c r="BX19" i="18"/>
  <c r="D19" i="18" s="1"/>
  <c r="BY17" i="18"/>
  <c r="BY15" i="18"/>
  <c r="BX15" i="18"/>
  <c r="BY13" i="18"/>
  <c r="E13" i="18" s="1"/>
  <c r="BX13" i="18"/>
  <c r="BY11" i="18"/>
  <c r="E11" i="18" s="1"/>
  <c r="BX11" i="18"/>
  <c r="D11" i="18" s="1"/>
  <c r="JP27" i="2"/>
  <c r="CM25" i="18"/>
  <c r="CK19" i="18"/>
  <c r="CJ19" i="18"/>
  <c r="CK14" i="18"/>
  <c r="CJ14" i="18"/>
  <c r="D31" i="18"/>
  <c r="CO28" i="18"/>
  <c r="CO35" i="18" s="1"/>
  <c r="AK10" i="18"/>
  <c r="AJ28" i="18"/>
  <c r="AK30" i="18"/>
  <c r="AK32" i="18" s="1"/>
  <c r="AJ32" i="18"/>
  <c r="BY10" i="18"/>
  <c r="BX10" i="18"/>
  <c r="BQ30" i="18"/>
  <c r="BQ32" i="18" s="1"/>
  <c r="BQ35" i="18" s="1"/>
  <c r="BP32" i="18"/>
  <c r="CK10" i="18"/>
  <c r="CJ10" i="18"/>
  <c r="CK12" i="18"/>
  <c r="CJ12" i="18"/>
  <c r="CK23" i="18"/>
  <c r="I23" i="18" s="1"/>
  <c r="CJ23" i="18"/>
  <c r="H23" i="18" s="1"/>
  <c r="CK26" i="18"/>
  <c r="I26" i="18" s="1"/>
  <c r="CJ26" i="18"/>
  <c r="BP28" i="18"/>
  <c r="G10" i="18"/>
  <c r="BY26" i="18"/>
  <c r="BX26" i="18"/>
  <c r="BY24" i="18"/>
  <c r="E24" i="18" s="1"/>
  <c r="BX24" i="18"/>
  <c r="D24" i="18" s="1"/>
  <c r="BY22" i="18"/>
  <c r="E22" i="18" s="1"/>
  <c r="BX22" i="18"/>
  <c r="D22" i="18" s="1"/>
  <c r="BY20" i="18"/>
  <c r="E20" i="18" s="1"/>
  <c r="BX20" i="18"/>
  <c r="D20" i="18" s="1"/>
  <c r="BY16" i="18"/>
  <c r="E16" i="18" s="1"/>
  <c r="BX16" i="18"/>
  <c r="BY12" i="18"/>
  <c r="E12" i="18" s="1"/>
  <c r="BX12" i="18"/>
  <c r="CK15" i="18"/>
  <c r="I15" i="18" s="1"/>
  <c r="CJ15" i="18"/>
  <c r="H15" i="18" s="1"/>
  <c r="CK27" i="18"/>
  <c r="I27" i="18" s="1"/>
  <c r="CJ27" i="18"/>
  <c r="H27" i="18" s="1"/>
  <c r="CK22" i="18"/>
  <c r="I22" i="18" s="1"/>
  <c r="CJ22" i="18"/>
  <c r="H22" i="18" s="1"/>
  <c r="AC28" i="18"/>
  <c r="CK21" i="18"/>
  <c r="CJ21" i="18"/>
  <c r="AC32" i="18"/>
  <c r="CJ25" i="18"/>
  <c r="H25" i="18" s="1"/>
  <c r="GN36" i="18"/>
  <c r="BK23" i="4"/>
  <c r="BK22" i="4"/>
  <c r="BK12" i="4"/>
  <c r="AM22" i="3"/>
  <c r="AM19" i="3"/>
  <c r="AM17" i="3"/>
  <c r="AM13" i="3"/>
  <c r="S8" i="3"/>
  <c r="S11" i="3"/>
  <c r="S15" i="3"/>
  <c r="S16" i="3"/>
  <c r="S25" i="3"/>
  <c r="BK17" i="4"/>
  <c r="BK11" i="4"/>
  <c r="BK9" i="4"/>
  <c r="AM8" i="3"/>
  <c r="AM24" i="3"/>
  <c r="AM21" i="3"/>
  <c r="AM16" i="3"/>
  <c r="AM12" i="3"/>
  <c r="AM10" i="3"/>
  <c r="S12" i="3"/>
  <c r="S17" i="3"/>
  <c r="S18" i="3"/>
  <c r="S19" i="3"/>
  <c r="BK25" i="4"/>
  <c r="BK21" i="4"/>
  <c r="BK20" i="4"/>
  <c r="BK16" i="4"/>
  <c r="AM20" i="3"/>
  <c r="AM18" i="3"/>
  <c r="AM15" i="3"/>
  <c r="S13" i="3"/>
  <c r="S20" i="3"/>
  <c r="S21" i="3"/>
  <c r="BK8" i="4"/>
  <c r="BK24" i="4"/>
  <c r="BK19" i="4"/>
  <c r="BK18" i="4"/>
  <c r="BK15" i="4"/>
  <c r="BK14" i="4"/>
  <c r="BK13" i="4"/>
  <c r="BK10" i="4"/>
  <c r="AM25" i="3"/>
  <c r="AM23" i="3"/>
  <c r="AM14" i="3"/>
  <c r="AM11" i="3"/>
  <c r="AS29" i="3"/>
  <c r="S9" i="3"/>
  <c r="S10" i="3"/>
  <c r="S14" i="3"/>
  <c r="S22" i="3"/>
  <c r="S23" i="3"/>
  <c r="S24" i="3"/>
  <c r="ES33" i="2"/>
  <c r="GA33" i="2"/>
  <c r="FU33" i="2"/>
  <c r="HN13" i="2"/>
  <c r="HN17" i="2"/>
  <c r="HN21" i="2"/>
  <c r="HN29" i="2"/>
  <c r="HN16" i="2"/>
  <c r="HN24" i="2"/>
  <c r="HN12" i="2"/>
  <c r="HN15" i="2"/>
  <c r="HN19" i="2"/>
  <c r="HN27" i="2"/>
  <c r="HN14" i="2"/>
  <c r="HN20" i="2"/>
  <c r="HN25" i="2"/>
  <c r="HN23" i="2"/>
  <c r="HN28" i="2"/>
  <c r="GF14" i="2"/>
  <c r="GF23" i="2"/>
  <c r="F13" i="4"/>
  <c r="RQ17" i="2" s="1"/>
  <c r="F12" i="4"/>
  <c r="RQ16" i="2" s="1"/>
  <c r="F22" i="4"/>
  <c r="RQ26" i="2" s="1"/>
  <c r="F20" i="4"/>
  <c r="RQ24" i="2" s="1"/>
  <c r="F19" i="4"/>
  <c r="RQ23" i="2" s="1"/>
  <c r="F24" i="4"/>
  <c r="RQ28" i="2" s="1"/>
  <c r="F21" i="4"/>
  <c r="RQ25" i="2" s="1"/>
  <c r="F11" i="4"/>
  <c r="RQ15" i="2" s="1"/>
  <c r="F25" i="4"/>
  <c r="RQ29" i="2" s="1"/>
  <c r="F8" i="4"/>
  <c r="RQ12" i="2" s="1"/>
  <c r="F17" i="4"/>
  <c r="RQ21" i="2" s="1"/>
  <c r="F16" i="4"/>
  <c r="RQ20" i="2" s="1"/>
  <c r="F15" i="4"/>
  <c r="RQ19" i="2" s="1"/>
  <c r="F14" i="4"/>
  <c r="RQ18" i="2" s="1"/>
  <c r="BI29" i="3"/>
  <c r="K11" i="3"/>
  <c r="E13" i="3"/>
  <c r="K15" i="3"/>
  <c r="K16" i="3"/>
  <c r="E20" i="3"/>
  <c r="E21" i="3"/>
  <c r="E9" i="3"/>
  <c r="E10" i="3"/>
  <c r="K12" i="3"/>
  <c r="E14" i="3"/>
  <c r="K17" i="3"/>
  <c r="K18" i="3"/>
  <c r="K19" i="3"/>
  <c r="E22" i="3"/>
  <c r="E23" i="3"/>
  <c r="E24" i="3"/>
  <c r="E8" i="3"/>
  <c r="E11" i="3"/>
  <c r="K13" i="3"/>
  <c r="E15" i="3"/>
  <c r="E16" i="3"/>
  <c r="K20" i="3"/>
  <c r="K21" i="3"/>
  <c r="E25" i="3"/>
  <c r="E28" i="3"/>
  <c r="E29" i="3"/>
  <c r="BI28" i="3"/>
  <c r="E12" i="3"/>
  <c r="K14" i="3"/>
  <c r="E17" i="3"/>
  <c r="E18" i="3"/>
  <c r="E19" i="3"/>
  <c r="CS24" i="4"/>
  <c r="CS22" i="4"/>
  <c r="CS21" i="4"/>
  <c r="CS13" i="4"/>
  <c r="CS16" i="4"/>
  <c r="K8" i="3"/>
  <c r="Q9" i="3"/>
  <c r="Q10" i="3"/>
  <c r="Q11" i="3"/>
  <c r="Q17" i="3"/>
  <c r="Q18" i="3"/>
  <c r="Q19" i="3"/>
  <c r="Q20" i="3"/>
  <c r="Q21" i="3"/>
  <c r="K22" i="3"/>
  <c r="K23" i="3"/>
  <c r="K24" i="3"/>
  <c r="Q12" i="3"/>
  <c r="Q22" i="3"/>
  <c r="Q23" i="3"/>
  <c r="Q24" i="3"/>
  <c r="K25" i="3"/>
  <c r="K28" i="3"/>
  <c r="K29" i="3"/>
  <c r="Q13" i="3"/>
  <c r="Q25" i="3"/>
  <c r="Q28" i="3"/>
  <c r="Q29" i="3"/>
  <c r="Q8" i="3"/>
  <c r="K9" i="3"/>
  <c r="K10" i="3"/>
  <c r="Q14" i="3"/>
  <c r="Q15" i="3"/>
  <c r="Q16" i="3"/>
  <c r="BU30" i="2"/>
  <c r="BU37" i="2" s="1"/>
  <c r="K9" i="4"/>
  <c r="K21" i="4"/>
  <c r="K19" i="4"/>
  <c r="K20" i="4"/>
  <c r="K17" i="4"/>
  <c r="K25" i="4"/>
  <c r="K13" i="4"/>
  <c r="K24" i="4"/>
  <c r="K16" i="4"/>
  <c r="K12" i="4"/>
  <c r="K22" i="4"/>
  <c r="K18" i="4"/>
  <c r="K14" i="4"/>
  <c r="K10" i="4"/>
  <c r="K23" i="4"/>
  <c r="K15" i="4"/>
  <c r="K11" i="4"/>
  <c r="PZ30" i="2"/>
  <c r="PZ37" i="2" s="1"/>
  <c r="PH59" i="2" s="1"/>
  <c r="QQ30" i="2"/>
  <c r="QQ37" i="2" s="1"/>
  <c r="DA18" i="2"/>
  <c r="DA26" i="2"/>
  <c r="DA13" i="2"/>
  <c r="DA21" i="2"/>
  <c r="DA29" i="2"/>
  <c r="DA27" i="2"/>
  <c r="DA17" i="2"/>
  <c r="DA25" i="2"/>
  <c r="DA19" i="2"/>
  <c r="DA15" i="2"/>
  <c r="DA23" i="2"/>
  <c r="DC12" i="2"/>
  <c r="DS12" i="2"/>
  <c r="DQ12" i="2" s="1"/>
  <c r="DS13" i="2"/>
  <c r="DQ13" i="2" s="1"/>
  <c r="HE34" i="2"/>
  <c r="HE30" i="2"/>
  <c r="V20" i="4"/>
  <c r="V16" i="4"/>
  <c r="BL24" i="4"/>
  <c r="BL23" i="4"/>
  <c r="BL22" i="4"/>
  <c r="BL20" i="4"/>
  <c r="BL16" i="4"/>
  <c r="AH25" i="4"/>
  <c r="J25" i="4"/>
  <c r="BX24" i="4"/>
  <c r="AH24" i="4"/>
  <c r="J24" i="4"/>
  <c r="BX23" i="4"/>
  <c r="AH20" i="4"/>
  <c r="J20" i="4"/>
  <c r="BX19" i="4"/>
  <c r="AH16" i="4"/>
  <c r="J16" i="4"/>
  <c r="BX15" i="4"/>
  <c r="BX14" i="4"/>
  <c r="AH12" i="4"/>
  <c r="J12" i="4"/>
  <c r="BX11" i="4"/>
  <c r="AH11" i="4"/>
  <c r="J11" i="4"/>
  <c r="BX10" i="4"/>
  <c r="AH10" i="4"/>
  <c r="J10" i="4"/>
  <c r="BX9" i="4"/>
  <c r="V9" i="4"/>
  <c r="CD19" i="4"/>
  <c r="CD15" i="4"/>
  <c r="CD11" i="4"/>
  <c r="CD10" i="4"/>
  <c r="CD9" i="4"/>
  <c r="BL9" i="4"/>
  <c r="V25" i="4"/>
  <c r="P25" i="4"/>
  <c r="CD24" i="4"/>
  <c r="P24" i="4"/>
  <c r="CD23" i="4"/>
  <c r="P23" i="4"/>
  <c r="CD22" i="4"/>
  <c r="P22" i="4"/>
  <c r="CD21" i="4"/>
  <c r="BL19" i="4"/>
  <c r="V19" i="4"/>
  <c r="BL18" i="4"/>
  <c r="V18" i="4"/>
  <c r="AH17" i="4"/>
  <c r="J17" i="4"/>
  <c r="BX16" i="4"/>
  <c r="BL14" i="4"/>
  <c r="V14" i="4"/>
  <c r="J13" i="4"/>
  <c r="BX12" i="4"/>
  <c r="V12" i="4"/>
  <c r="BL11" i="4"/>
  <c r="BL15" i="4"/>
  <c r="V24" i="4"/>
  <c r="AH21" i="4"/>
  <c r="J21" i="4"/>
  <c r="BX20" i="4"/>
  <c r="CD16" i="4"/>
  <c r="J15" i="4"/>
  <c r="CD12" i="4"/>
  <c r="BL25" i="4"/>
  <c r="AH23" i="4"/>
  <c r="J23" i="4"/>
  <c r="BX22" i="4"/>
  <c r="J22" i="4"/>
  <c r="BX21" i="4"/>
  <c r="V21" i="4"/>
  <c r="AT19" i="4"/>
  <c r="CD18" i="4"/>
  <c r="CD17" i="4"/>
  <c r="V15" i="4"/>
  <c r="CD13" i="4"/>
  <c r="BL12" i="4"/>
  <c r="BX25" i="4"/>
  <c r="CD20" i="4"/>
  <c r="J19" i="4"/>
  <c r="BX18" i="4"/>
  <c r="AH18" i="4"/>
  <c r="J18" i="4"/>
  <c r="BX17" i="4"/>
  <c r="V17" i="4"/>
  <c r="CD14" i="4"/>
  <c r="J14" i="4"/>
  <c r="BX13" i="4"/>
  <c r="V13" i="4"/>
  <c r="BL10" i="4"/>
  <c r="AH9" i="4"/>
  <c r="J9" i="4"/>
  <c r="BL21" i="4"/>
  <c r="CD25" i="4"/>
  <c r="AH22" i="4"/>
  <c r="P19" i="4"/>
  <c r="BL17" i="4"/>
  <c r="BL13" i="4"/>
  <c r="P9" i="4"/>
  <c r="V33" i="2"/>
  <c r="V32" i="2"/>
  <c r="K13" i="2"/>
  <c r="S13" i="2"/>
  <c r="V13" i="2"/>
  <c r="W13" i="2"/>
  <c r="AA13" i="2"/>
  <c r="AB13" i="2"/>
  <c r="AF13" i="2" s="1"/>
  <c r="AG13" i="2"/>
  <c r="K14" i="2"/>
  <c r="S14" i="2"/>
  <c r="V14" i="2"/>
  <c r="W14" i="2"/>
  <c r="AA14" i="2"/>
  <c r="AB14" i="2"/>
  <c r="AF14" i="2" s="1"/>
  <c r="AG14" i="2"/>
  <c r="K15" i="2"/>
  <c r="S15" i="2"/>
  <c r="V15" i="2"/>
  <c r="W15" i="2"/>
  <c r="AA15" i="2"/>
  <c r="AB15" i="2"/>
  <c r="AF15" i="2" s="1"/>
  <c r="AG15" i="2"/>
  <c r="K16" i="2"/>
  <c r="S16" i="2"/>
  <c r="V16" i="2"/>
  <c r="W16" i="2"/>
  <c r="AA16" i="2"/>
  <c r="AB16" i="2"/>
  <c r="AF16" i="2" s="1"/>
  <c r="AG16" i="2"/>
  <c r="K17" i="2"/>
  <c r="S17" i="2"/>
  <c r="V17" i="2"/>
  <c r="W17" i="2"/>
  <c r="AA17" i="2"/>
  <c r="AB17" i="2"/>
  <c r="AF17" i="2" s="1"/>
  <c r="AG17" i="2"/>
  <c r="K18" i="2"/>
  <c r="S18" i="2"/>
  <c r="V18" i="2"/>
  <c r="W18" i="2"/>
  <c r="AA18" i="2"/>
  <c r="AB18" i="2"/>
  <c r="AF18" i="2" s="1"/>
  <c r="AG18" i="2"/>
  <c r="K19" i="2"/>
  <c r="S19" i="2"/>
  <c r="V19" i="2"/>
  <c r="W19" i="2"/>
  <c r="AA19" i="2"/>
  <c r="AB19" i="2"/>
  <c r="AF19" i="2" s="1"/>
  <c r="AG19" i="2"/>
  <c r="K20" i="2"/>
  <c r="S20" i="2"/>
  <c r="V20" i="2"/>
  <c r="W20" i="2"/>
  <c r="AA20" i="2"/>
  <c r="AB20" i="2"/>
  <c r="AF20" i="2" s="1"/>
  <c r="AG20" i="2"/>
  <c r="K21" i="2"/>
  <c r="S21" i="2"/>
  <c r="V21" i="2"/>
  <c r="W21" i="2"/>
  <c r="AA21" i="2"/>
  <c r="AB21" i="2"/>
  <c r="AF21" i="2" s="1"/>
  <c r="AG21" i="2"/>
  <c r="K22" i="2"/>
  <c r="S22" i="2"/>
  <c r="V22" i="2"/>
  <c r="W22" i="2"/>
  <c r="AA22" i="2"/>
  <c r="AB22" i="2"/>
  <c r="AF22" i="2" s="1"/>
  <c r="AG22" i="2"/>
  <c r="K23" i="2"/>
  <c r="S23" i="2"/>
  <c r="V23" i="2"/>
  <c r="W23" i="2"/>
  <c r="AA23" i="2"/>
  <c r="AB23" i="2"/>
  <c r="AF23" i="2" s="1"/>
  <c r="AG23" i="2"/>
  <c r="K24" i="2"/>
  <c r="S24" i="2"/>
  <c r="V24" i="2"/>
  <c r="W24" i="2"/>
  <c r="AA24" i="2"/>
  <c r="AB24" i="2"/>
  <c r="AF24" i="2" s="1"/>
  <c r="AG24" i="2"/>
  <c r="K25" i="2"/>
  <c r="S25" i="2"/>
  <c r="V25" i="2"/>
  <c r="W25" i="2"/>
  <c r="AA25" i="2"/>
  <c r="AB25" i="2"/>
  <c r="AF25" i="2" s="1"/>
  <c r="AG25" i="2"/>
  <c r="K26" i="2"/>
  <c r="S26" i="2"/>
  <c r="V26" i="2"/>
  <c r="W26" i="2"/>
  <c r="AA26" i="2"/>
  <c r="AB26" i="2"/>
  <c r="AF26" i="2" s="1"/>
  <c r="AG26" i="2"/>
  <c r="K27" i="2"/>
  <c r="S27" i="2"/>
  <c r="V27" i="2"/>
  <c r="W27" i="2"/>
  <c r="AA27" i="2"/>
  <c r="AB27" i="2"/>
  <c r="AF27" i="2" s="1"/>
  <c r="AG27" i="2"/>
  <c r="K28" i="2"/>
  <c r="S28" i="2"/>
  <c r="V28" i="2"/>
  <c r="W28" i="2"/>
  <c r="AA28" i="2"/>
  <c r="AB28" i="2"/>
  <c r="AF28" i="2" s="1"/>
  <c r="AG28" i="2"/>
  <c r="K29" i="2"/>
  <c r="S29" i="2"/>
  <c r="V29" i="2"/>
  <c r="W29" i="2"/>
  <c r="AA29" i="2"/>
  <c r="AB29" i="2"/>
  <c r="AF29" i="2" s="1"/>
  <c r="AG29" i="2"/>
  <c r="V12" i="2"/>
  <c r="AA12" i="2"/>
  <c r="AG12" i="2"/>
  <c r="M26" i="4"/>
  <c r="F10" i="16" l="1"/>
  <c r="CF35" i="18"/>
  <c r="CF36" i="18" s="1"/>
  <c r="D32" i="18"/>
  <c r="D39" i="18" s="1"/>
  <c r="AU14" i="4"/>
  <c r="H13" i="18"/>
  <c r="C30" i="18"/>
  <c r="H32" i="18"/>
  <c r="CW14" i="4"/>
  <c r="E30" i="18"/>
  <c r="E32" i="18" s="1"/>
  <c r="H26" i="18"/>
  <c r="I13" i="18"/>
  <c r="BO24" i="4"/>
  <c r="BM24" i="4" s="1"/>
  <c r="CW23" i="4"/>
  <c r="BO12" i="4"/>
  <c r="BM12" i="4" s="1"/>
  <c r="BO9" i="4"/>
  <c r="BM9" i="4" s="1"/>
  <c r="CW10" i="4"/>
  <c r="BP35" i="18"/>
  <c r="BP36" i="18" s="1"/>
  <c r="AJ35" i="18"/>
  <c r="E10" i="18"/>
  <c r="BO8" i="4"/>
  <c r="BM8" i="4" s="1"/>
  <c r="AK28" i="18"/>
  <c r="AK35" i="18" s="1"/>
  <c r="BO25" i="4"/>
  <c r="BM25" i="4" s="1"/>
  <c r="BO13" i="4"/>
  <c r="BM13" i="4" s="1"/>
  <c r="BO21" i="4"/>
  <c r="BM21" i="4" s="1"/>
  <c r="CW25" i="4"/>
  <c r="BO16" i="4"/>
  <c r="BM16" i="4" s="1"/>
  <c r="BO17" i="4"/>
  <c r="BM17" i="4" s="1"/>
  <c r="CW15" i="4"/>
  <c r="CW9" i="4"/>
  <c r="BO20" i="4"/>
  <c r="G20" i="4" s="1"/>
  <c r="RR24" i="2" s="1"/>
  <c r="CJ28" i="18"/>
  <c r="CJ35" i="18" s="1"/>
  <c r="H10" i="18"/>
  <c r="K25" i="18"/>
  <c r="K28" i="18" s="1"/>
  <c r="CM28" i="18"/>
  <c r="CM35" i="18" s="1"/>
  <c r="CB12" i="18"/>
  <c r="CC12" i="18"/>
  <c r="I12" i="18" s="1"/>
  <c r="B31" i="18"/>
  <c r="CC21" i="18"/>
  <c r="I21" i="18" s="1"/>
  <c r="CB21" i="18"/>
  <c r="H21" i="18" s="1"/>
  <c r="CC17" i="18"/>
  <c r="I17" i="18" s="1"/>
  <c r="D10" i="18"/>
  <c r="CC19" i="18"/>
  <c r="I19" i="18" s="1"/>
  <c r="CB19" i="18"/>
  <c r="H19" i="18" s="1"/>
  <c r="CK28" i="18"/>
  <c r="CK35" i="18" s="1"/>
  <c r="I10" i="18"/>
  <c r="AC35" i="18"/>
  <c r="AB36" i="18" s="1"/>
  <c r="G13" i="4"/>
  <c r="RR17" i="2" s="1"/>
  <c r="BO15" i="4"/>
  <c r="BO18" i="4"/>
  <c r="CW20" i="4"/>
  <c r="CW13" i="4"/>
  <c r="CW19" i="4"/>
  <c r="BO23" i="4"/>
  <c r="BO11" i="4"/>
  <c r="BO10" i="4"/>
  <c r="BO14" i="4"/>
  <c r="CW16" i="4"/>
  <c r="BO19" i="4"/>
  <c r="CW21" i="4"/>
  <c r="BO22" i="4"/>
  <c r="BM22" i="4" s="1"/>
  <c r="CW24" i="4"/>
  <c r="CW11" i="4"/>
  <c r="CW17" i="4"/>
  <c r="CW12" i="4"/>
  <c r="CW22" i="4"/>
  <c r="CS26" i="4"/>
  <c r="AI22" i="4"/>
  <c r="AI10" i="4"/>
  <c r="AI12" i="4"/>
  <c r="AI24" i="4"/>
  <c r="AI11" i="4"/>
  <c r="AI16" i="4"/>
  <c r="AI25" i="4"/>
  <c r="K26" i="3"/>
  <c r="DA12" i="2"/>
  <c r="N49" i="1"/>
  <c r="AE29" i="2"/>
  <c r="AE24" i="2"/>
  <c r="AE21" i="2"/>
  <c r="AE17" i="2"/>
  <c r="AE25" i="2"/>
  <c r="AE16" i="2"/>
  <c r="AE27" i="2"/>
  <c r="AE13" i="2"/>
  <c r="AE15" i="2"/>
  <c r="AE28" i="2"/>
  <c r="AE22" i="2"/>
  <c r="AE20" i="2"/>
  <c r="AE26" i="2"/>
  <c r="AE23" i="2"/>
  <c r="AE18" i="2"/>
  <c r="AE19" i="2"/>
  <c r="AE14" i="2"/>
  <c r="AL27" i="5"/>
  <c r="AJ27" i="5"/>
  <c r="AH27" i="5"/>
  <c r="AF27" i="5"/>
  <c r="AD27" i="5"/>
  <c r="AB27" i="5"/>
  <c r="Z27" i="5"/>
  <c r="X27" i="5"/>
  <c r="V27" i="5"/>
  <c r="T27" i="5"/>
  <c r="R27" i="5"/>
  <c r="P27" i="5"/>
  <c r="N27" i="5"/>
  <c r="L27" i="5"/>
  <c r="J27" i="5"/>
  <c r="H27" i="5"/>
  <c r="F27" i="5"/>
  <c r="D27" i="5"/>
  <c r="AL26" i="5"/>
  <c r="AJ26" i="5"/>
  <c r="AH26" i="5"/>
  <c r="AF26" i="5"/>
  <c r="AD26" i="5"/>
  <c r="AB26" i="5"/>
  <c r="Z26" i="5"/>
  <c r="X26" i="5"/>
  <c r="V26" i="5"/>
  <c r="T26" i="5"/>
  <c r="R26" i="5"/>
  <c r="P26" i="5"/>
  <c r="N26" i="5"/>
  <c r="L26" i="5"/>
  <c r="J26" i="5"/>
  <c r="H26" i="5"/>
  <c r="F26" i="5"/>
  <c r="D26" i="5"/>
  <c r="AL25" i="5"/>
  <c r="AJ25" i="5"/>
  <c r="AH25" i="5"/>
  <c r="AF25" i="5"/>
  <c r="AD25" i="5"/>
  <c r="AB25" i="5"/>
  <c r="Z25" i="5"/>
  <c r="X25" i="5"/>
  <c r="V25" i="5"/>
  <c r="T25" i="5"/>
  <c r="R25" i="5"/>
  <c r="P25" i="5"/>
  <c r="N25" i="5"/>
  <c r="L25" i="5"/>
  <c r="J25" i="5"/>
  <c r="H25" i="5"/>
  <c r="F25" i="5"/>
  <c r="D25" i="5"/>
  <c r="AL24" i="5"/>
  <c r="AJ24" i="5"/>
  <c r="AH24" i="5"/>
  <c r="AF24" i="5"/>
  <c r="AD24" i="5"/>
  <c r="AB24" i="5"/>
  <c r="Z24" i="5"/>
  <c r="X24" i="5"/>
  <c r="V24" i="5"/>
  <c r="T24" i="5"/>
  <c r="R24" i="5"/>
  <c r="P24" i="5"/>
  <c r="N24" i="5"/>
  <c r="L24" i="5"/>
  <c r="J24" i="5"/>
  <c r="H24" i="5"/>
  <c r="F24" i="5"/>
  <c r="D24" i="5"/>
  <c r="AL23" i="5"/>
  <c r="AJ23" i="5"/>
  <c r="AH23" i="5"/>
  <c r="AF23" i="5"/>
  <c r="AD23" i="5"/>
  <c r="AB23" i="5"/>
  <c r="Z23" i="5"/>
  <c r="X23" i="5"/>
  <c r="V23" i="5"/>
  <c r="T23" i="5"/>
  <c r="R23" i="5"/>
  <c r="P23" i="5"/>
  <c r="N23" i="5"/>
  <c r="L23" i="5"/>
  <c r="J23" i="5"/>
  <c r="H23" i="5"/>
  <c r="F23" i="5"/>
  <c r="D23" i="5"/>
  <c r="AL22" i="5"/>
  <c r="AJ22" i="5"/>
  <c r="AH22" i="5"/>
  <c r="AF22" i="5"/>
  <c r="AD22" i="5"/>
  <c r="AB22" i="5"/>
  <c r="Z22" i="5"/>
  <c r="X22" i="5"/>
  <c r="V22" i="5"/>
  <c r="T22" i="5"/>
  <c r="R22" i="5"/>
  <c r="P22" i="5"/>
  <c r="N22" i="5"/>
  <c r="L22" i="5"/>
  <c r="J22" i="5"/>
  <c r="H22" i="5"/>
  <c r="F22" i="5"/>
  <c r="D22" i="5"/>
  <c r="AL21" i="5"/>
  <c r="AJ21" i="5"/>
  <c r="AH21" i="5"/>
  <c r="AF21" i="5"/>
  <c r="AD21" i="5"/>
  <c r="AB21" i="5"/>
  <c r="Z21" i="5"/>
  <c r="X21" i="5"/>
  <c r="V21" i="5"/>
  <c r="T21" i="5"/>
  <c r="R21" i="5"/>
  <c r="P21" i="5"/>
  <c r="N21" i="5"/>
  <c r="L21" i="5"/>
  <c r="J21" i="5"/>
  <c r="H21" i="5"/>
  <c r="F21" i="5"/>
  <c r="D21" i="5"/>
  <c r="AL20" i="5"/>
  <c r="AJ20" i="5"/>
  <c r="AH20" i="5"/>
  <c r="AF20" i="5"/>
  <c r="AD20" i="5"/>
  <c r="AB20" i="5"/>
  <c r="Z20" i="5"/>
  <c r="X20" i="5"/>
  <c r="V20" i="5"/>
  <c r="T20" i="5"/>
  <c r="R20" i="5"/>
  <c r="P20" i="5"/>
  <c r="N20" i="5"/>
  <c r="L20" i="5"/>
  <c r="J20" i="5"/>
  <c r="H20" i="5"/>
  <c r="F20" i="5"/>
  <c r="D20" i="5"/>
  <c r="AL19" i="5"/>
  <c r="AJ19" i="5"/>
  <c r="AH19" i="5"/>
  <c r="AF19" i="5"/>
  <c r="AD19" i="5"/>
  <c r="AB19" i="5"/>
  <c r="Z19" i="5"/>
  <c r="X19" i="5"/>
  <c r="V19" i="5"/>
  <c r="T19" i="5"/>
  <c r="R19" i="5"/>
  <c r="P19" i="5"/>
  <c r="N19" i="5"/>
  <c r="L19" i="5"/>
  <c r="J19" i="5"/>
  <c r="H19" i="5"/>
  <c r="F19" i="5"/>
  <c r="D19" i="5"/>
  <c r="AL18" i="5"/>
  <c r="AJ18" i="5"/>
  <c r="AH18" i="5"/>
  <c r="AF18" i="5"/>
  <c r="AD18" i="5"/>
  <c r="AB18" i="5"/>
  <c r="Z18" i="5"/>
  <c r="X18" i="5"/>
  <c r="V18" i="5"/>
  <c r="T18" i="5"/>
  <c r="R18" i="5"/>
  <c r="P18" i="5"/>
  <c r="N18" i="5"/>
  <c r="L18" i="5"/>
  <c r="J18" i="5"/>
  <c r="H18" i="5"/>
  <c r="F18" i="5"/>
  <c r="D18" i="5"/>
  <c r="AL17" i="5"/>
  <c r="AJ17" i="5"/>
  <c r="AH17" i="5"/>
  <c r="AF17" i="5"/>
  <c r="AD17" i="5"/>
  <c r="AB17" i="5"/>
  <c r="Z17" i="5"/>
  <c r="X17" i="5"/>
  <c r="V17" i="5"/>
  <c r="T17" i="5"/>
  <c r="R17" i="5"/>
  <c r="P17" i="5"/>
  <c r="N17" i="5"/>
  <c r="L17" i="5"/>
  <c r="J17" i="5"/>
  <c r="H17" i="5"/>
  <c r="F17" i="5"/>
  <c r="D17" i="5"/>
  <c r="AL16" i="5"/>
  <c r="AJ16" i="5"/>
  <c r="AH16" i="5"/>
  <c r="AF16" i="5"/>
  <c r="AD16" i="5"/>
  <c r="AB16" i="5"/>
  <c r="Z16" i="5"/>
  <c r="X16" i="5"/>
  <c r="V16" i="5"/>
  <c r="T16" i="5"/>
  <c r="R16" i="5"/>
  <c r="P16" i="5"/>
  <c r="N16" i="5"/>
  <c r="L16" i="5"/>
  <c r="J16" i="5"/>
  <c r="H16" i="5"/>
  <c r="F16" i="5"/>
  <c r="D16" i="5"/>
  <c r="AL15" i="5"/>
  <c r="AJ15" i="5"/>
  <c r="AH15" i="5"/>
  <c r="AF15" i="5"/>
  <c r="AD15" i="5"/>
  <c r="AB15" i="5"/>
  <c r="Z15" i="5"/>
  <c r="X15" i="5"/>
  <c r="V15" i="5"/>
  <c r="T15" i="5"/>
  <c r="R15" i="5"/>
  <c r="P15" i="5"/>
  <c r="N15" i="5"/>
  <c r="L15" i="5"/>
  <c r="J15" i="5"/>
  <c r="H15" i="5"/>
  <c r="F15" i="5"/>
  <c r="D15" i="5"/>
  <c r="AL14" i="5"/>
  <c r="AJ14" i="5"/>
  <c r="AH14" i="5"/>
  <c r="AF14" i="5"/>
  <c r="AD14" i="5"/>
  <c r="AB14" i="5"/>
  <c r="Z14" i="5"/>
  <c r="X14" i="5"/>
  <c r="V14" i="5"/>
  <c r="T14" i="5"/>
  <c r="R14" i="5"/>
  <c r="P14" i="5"/>
  <c r="N14" i="5"/>
  <c r="L14" i="5"/>
  <c r="J14" i="5"/>
  <c r="H14" i="5"/>
  <c r="F14" i="5"/>
  <c r="D14" i="5"/>
  <c r="AL13" i="5"/>
  <c r="AJ13" i="5"/>
  <c r="AH13" i="5"/>
  <c r="AF13" i="5"/>
  <c r="AD13" i="5"/>
  <c r="AB13" i="5"/>
  <c r="Z13" i="5"/>
  <c r="X13" i="5"/>
  <c r="V13" i="5"/>
  <c r="T13" i="5"/>
  <c r="R13" i="5"/>
  <c r="P13" i="5"/>
  <c r="N13" i="5"/>
  <c r="L13" i="5"/>
  <c r="J13" i="5"/>
  <c r="H13" i="5"/>
  <c r="F13" i="5"/>
  <c r="D13" i="5"/>
  <c r="AL12" i="5"/>
  <c r="AJ12" i="5"/>
  <c r="AH12" i="5"/>
  <c r="AF12" i="5"/>
  <c r="AD12" i="5"/>
  <c r="AB12" i="5"/>
  <c r="Z12" i="5"/>
  <c r="X12" i="5"/>
  <c r="V12" i="5"/>
  <c r="T12" i="5"/>
  <c r="R12" i="5"/>
  <c r="P12" i="5"/>
  <c r="N12" i="5"/>
  <c r="L12" i="5"/>
  <c r="J12" i="5"/>
  <c r="H12" i="5"/>
  <c r="F12" i="5"/>
  <c r="D12" i="5"/>
  <c r="AL11" i="5"/>
  <c r="AJ11" i="5"/>
  <c r="AH11" i="5"/>
  <c r="AF11" i="5"/>
  <c r="AD11" i="5"/>
  <c r="AB11" i="5"/>
  <c r="Z11" i="5"/>
  <c r="X11" i="5"/>
  <c r="V11" i="5"/>
  <c r="T11" i="5"/>
  <c r="R11" i="5"/>
  <c r="P11" i="5"/>
  <c r="N11" i="5"/>
  <c r="L11" i="5"/>
  <c r="J11" i="5"/>
  <c r="H11" i="5"/>
  <c r="F11" i="5"/>
  <c r="D11" i="5"/>
  <c r="AL10" i="5"/>
  <c r="AJ10" i="5"/>
  <c r="AH10" i="5"/>
  <c r="AF10" i="5"/>
  <c r="AD10" i="5"/>
  <c r="AB10" i="5"/>
  <c r="Z10" i="5"/>
  <c r="X10" i="5"/>
  <c r="V10" i="5"/>
  <c r="T10" i="5"/>
  <c r="R10" i="5"/>
  <c r="P10" i="5"/>
  <c r="N10" i="5"/>
  <c r="L10" i="5"/>
  <c r="J10" i="5"/>
  <c r="H10" i="5"/>
  <c r="F10" i="5"/>
  <c r="D10" i="5"/>
  <c r="AL9" i="5"/>
  <c r="AJ9" i="5"/>
  <c r="AH9" i="5"/>
  <c r="AF9" i="5"/>
  <c r="AD9" i="5"/>
  <c r="AB9" i="5"/>
  <c r="Z9" i="5"/>
  <c r="X9" i="5"/>
  <c r="V9" i="5"/>
  <c r="T9" i="5"/>
  <c r="R9" i="5"/>
  <c r="P9" i="5"/>
  <c r="N9" i="5"/>
  <c r="L9" i="5"/>
  <c r="J9" i="5"/>
  <c r="H9" i="5"/>
  <c r="F9" i="5"/>
  <c r="D9" i="5"/>
  <c r="AL8" i="5"/>
  <c r="AJ8" i="5"/>
  <c r="AH8" i="5"/>
  <c r="AF8" i="5"/>
  <c r="AD8" i="5"/>
  <c r="AB8" i="5"/>
  <c r="Z8" i="5"/>
  <c r="X8" i="5"/>
  <c r="V8" i="5"/>
  <c r="T8" i="5"/>
  <c r="R8" i="5"/>
  <c r="P8" i="5"/>
  <c r="N8" i="5"/>
  <c r="L8" i="5"/>
  <c r="J8" i="5"/>
  <c r="H8" i="5"/>
  <c r="F8" i="5"/>
  <c r="D8" i="5"/>
  <c r="G12" i="4" l="1"/>
  <c r="RR16" i="2" s="1"/>
  <c r="B32" i="18"/>
  <c r="G9" i="4"/>
  <c r="RR13" i="2" s="1"/>
  <c r="G17" i="4"/>
  <c r="RR21" i="2" s="1"/>
  <c r="G24" i="4"/>
  <c r="RR28" i="2" s="1"/>
  <c r="E39" i="18"/>
  <c r="B30" i="18"/>
  <c r="C32" i="18"/>
  <c r="H39" i="18"/>
  <c r="G25" i="4"/>
  <c r="RR29" i="2" s="1"/>
  <c r="AJ36" i="18"/>
  <c r="G8" i="4"/>
  <c r="RR12" i="2" s="1"/>
  <c r="G21" i="4"/>
  <c r="RR25" i="2" s="1"/>
  <c r="G16" i="4"/>
  <c r="RR20" i="2" s="1"/>
  <c r="BM20" i="4"/>
  <c r="CJ36" i="18"/>
  <c r="K38" i="18"/>
  <c r="K35" i="18"/>
  <c r="K40" i="18" s="1"/>
  <c r="G22" i="4"/>
  <c r="RR26" i="2" s="1"/>
  <c r="BM11" i="4"/>
  <c r="G11" i="4"/>
  <c r="RR15" i="2" s="1"/>
  <c r="BM10" i="4"/>
  <c r="BM15" i="4"/>
  <c r="G15" i="4"/>
  <c r="RR19" i="2" s="1"/>
  <c r="BM19" i="4"/>
  <c r="G19" i="4"/>
  <c r="RR23" i="2" s="1"/>
  <c r="BM14" i="4"/>
  <c r="G14" i="4"/>
  <c r="RR18" i="2" s="1"/>
  <c r="BM23" i="4"/>
  <c r="G23" i="4"/>
  <c r="RR27" i="2" s="1"/>
  <c r="BM18" i="4"/>
  <c r="CN31" i="6"/>
  <c r="CL31" i="6"/>
  <c r="CN32" i="6"/>
  <c r="CL32" i="6"/>
  <c r="CL24" i="6"/>
  <c r="CL18" i="6"/>
  <c r="CL11" i="6"/>
  <c r="CN27" i="6"/>
  <c r="CN25" i="6"/>
  <c r="CN23" i="6"/>
  <c r="CN21" i="6"/>
  <c r="CN19" i="6"/>
  <c r="CN17" i="6"/>
  <c r="CN15" i="6"/>
  <c r="CN13" i="6"/>
  <c r="CL14" i="6"/>
  <c r="CL26" i="6"/>
  <c r="CL22" i="6"/>
  <c r="CL20" i="6"/>
  <c r="CL12" i="6"/>
  <c r="CN28" i="6"/>
  <c r="CN26" i="6"/>
  <c r="CN24" i="6"/>
  <c r="CN22" i="6"/>
  <c r="CN20" i="6"/>
  <c r="CN18" i="6"/>
  <c r="CN16" i="6"/>
  <c r="CN14" i="6"/>
  <c r="CN12" i="6"/>
  <c r="CL28" i="6"/>
  <c r="CL16" i="6"/>
  <c r="CN11" i="6"/>
  <c r="CL27" i="6"/>
  <c r="CL25" i="6"/>
  <c r="CL23" i="6"/>
  <c r="CL21" i="6"/>
  <c r="CL19" i="6"/>
  <c r="CL17" i="6"/>
  <c r="CL15" i="6"/>
  <c r="CL13" i="6"/>
  <c r="E435" i="8"/>
  <c r="E403" i="8"/>
  <c r="E404" i="8" s="1"/>
  <c r="E400" i="8" s="1"/>
  <c r="E397" i="8"/>
  <c r="E395" i="8"/>
  <c r="E342" i="8"/>
  <c r="E330" i="8"/>
  <c r="E328" i="8"/>
  <c r="E276" i="8"/>
  <c r="E254" i="8" s="1"/>
  <c r="E274" i="8"/>
  <c r="D153" i="8"/>
  <c r="E12" i="8"/>
  <c r="CN33" i="6" l="1"/>
  <c r="CN29" i="6"/>
  <c r="E13" i="9"/>
  <c r="E8" i="9"/>
  <c r="CN36" i="6" l="1"/>
  <c r="CS30" i="6"/>
  <c r="CT30" i="6"/>
  <c r="CS34" i="6"/>
  <c r="CT34" i="6"/>
  <c r="CS35" i="6"/>
  <c r="CT35" i="6"/>
  <c r="BI32" i="6" l="1"/>
  <c r="BI31" i="6"/>
  <c r="BI12" i="6"/>
  <c r="BI13" i="6"/>
  <c r="BI14" i="6"/>
  <c r="BI15" i="6"/>
  <c r="BI16" i="6"/>
  <c r="BI17" i="6"/>
  <c r="BI18" i="6"/>
  <c r="BI19" i="6"/>
  <c r="BI20" i="6"/>
  <c r="BI21" i="6"/>
  <c r="BI22" i="6"/>
  <c r="BI23" i="6"/>
  <c r="BI24" i="6"/>
  <c r="BI25" i="6"/>
  <c r="BI26" i="6"/>
  <c r="BI27" i="6"/>
  <c r="BI28" i="6"/>
  <c r="BI11" i="6"/>
  <c r="QU34" i="2"/>
  <c r="RD34" i="2"/>
  <c r="RC34" i="2"/>
  <c r="RD30" i="2"/>
  <c r="RC30" i="2"/>
  <c r="PT34" i="2"/>
  <c r="PS34" i="2"/>
  <c r="PT30" i="2"/>
  <c r="PS30" i="2"/>
  <c r="PK34" i="2"/>
  <c r="PJ34" i="2"/>
  <c r="RC37" i="2" l="1"/>
  <c r="PS60" i="2" s="1"/>
  <c r="PS37" i="2"/>
  <c r="PT37" i="2"/>
  <c r="RD37" i="2"/>
  <c r="PT60" i="2" s="1"/>
  <c r="QT34" i="2"/>
  <c r="QU30" i="2"/>
  <c r="QU37" i="2" s="1"/>
  <c r="PK60" i="2" s="1"/>
  <c r="QT30" i="2"/>
  <c r="PS53" i="2" l="1"/>
  <c r="PS56" i="2"/>
  <c r="PT56" i="2"/>
  <c r="PT53" i="2"/>
  <c r="QT37" i="2"/>
  <c r="PJ60" i="2" s="1"/>
  <c r="CL61" i="2"/>
  <c r="CG61" i="2"/>
  <c r="BH57" i="2" l="1"/>
  <c r="EC61" i="2"/>
  <c r="DU61" i="2"/>
  <c r="FX61" i="2"/>
  <c r="FU61" i="2"/>
  <c r="HH61" i="2"/>
  <c r="HL61" i="2"/>
  <c r="HQ61" i="2"/>
  <c r="HU61" i="2"/>
  <c r="HE60" i="2"/>
  <c r="HE59" i="2"/>
  <c r="HE56" i="2"/>
  <c r="HN60" i="2"/>
  <c r="HN59" i="2"/>
  <c r="HN56" i="2"/>
  <c r="HW55" i="2"/>
  <c r="HW54" i="2"/>
  <c r="IF55" i="2"/>
  <c r="IF54" i="2"/>
  <c r="HE61" i="2" l="1"/>
  <c r="EV12" i="2" l="1"/>
  <c r="JA12" i="2"/>
  <c r="JB12" i="2"/>
  <c r="JC12" i="2"/>
  <c r="JD12" i="2"/>
  <c r="CT10" i="18" s="1"/>
  <c r="JE12" i="2"/>
  <c r="JF12" i="2"/>
  <c r="EV13" i="2"/>
  <c r="JA13" i="2"/>
  <c r="JB13" i="2"/>
  <c r="JC13" i="2"/>
  <c r="JD13" i="2"/>
  <c r="CT11" i="18" s="1"/>
  <c r="JE13" i="2"/>
  <c r="JF13" i="2"/>
  <c r="IR13" i="2"/>
  <c r="IV13" i="2"/>
  <c r="EV14" i="2"/>
  <c r="JA14" i="2"/>
  <c r="JB14" i="2"/>
  <c r="JE14" i="2"/>
  <c r="JF14" i="2"/>
  <c r="EV15" i="2"/>
  <c r="JA15" i="2"/>
  <c r="JB15" i="2"/>
  <c r="JC15" i="2"/>
  <c r="JD15" i="2"/>
  <c r="CT13" i="18" s="1"/>
  <c r="JE15" i="2"/>
  <c r="JF15" i="2"/>
  <c r="IR15" i="2"/>
  <c r="IV15" i="2"/>
  <c r="EV16" i="2"/>
  <c r="JA16" i="2"/>
  <c r="JB16" i="2"/>
  <c r="JC16" i="2"/>
  <c r="JD16" i="2"/>
  <c r="CT14" i="18" s="1"/>
  <c r="JE16" i="2"/>
  <c r="JF16" i="2"/>
  <c r="EV17" i="2"/>
  <c r="JA17" i="2"/>
  <c r="JB17" i="2"/>
  <c r="JC17" i="2"/>
  <c r="JD17" i="2"/>
  <c r="CT15" i="18" s="1"/>
  <c r="JE17" i="2"/>
  <c r="JF17" i="2"/>
  <c r="IR17" i="2"/>
  <c r="IV17" i="2"/>
  <c r="EV18" i="2"/>
  <c r="JA18" i="2"/>
  <c r="JB18" i="2"/>
  <c r="JC18" i="2"/>
  <c r="JD18" i="2"/>
  <c r="CT16" i="18" s="1"/>
  <c r="JE18" i="2"/>
  <c r="JF18" i="2"/>
  <c r="EV19" i="2"/>
  <c r="JA19" i="2"/>
  <c r="JB19" i="2"/>
  <c r="JC19" i="2"/>
  <c r="JD19" i="2"/>
  <c r="CT17" i="18" s="1"/>
  <c r="JE19" i="2"/>
  <c r="JF19" i="2"/>
  <c r="EV20" i="2"/>
  <c r="JA20" i="2"/>
  <c r="JB20" i="2"/>
  <c r="JC20" i="2"/>
  <c r="JD20" i="2"/>
  <c r="CT18" i="18" s="1"/>
  <c r="JE20" i="2"/>
  <c r="JF20" i="2"/>
  <c r="EV21" i="2"/>
  <c r="JA21" i="2"/>
  <c r="JB21" i="2"/>
  <c r="JC21" i="2"/>
  <c r="JD21" i="2"/>
  <c r="CT19" i="18" s="1"/>
  <c r="JE21" i="2"/>
  <c r="JF21" i="2"/>
  <c r="EV22" i="2"/>
  <c r="JA22" i="2"/>
  <c r="JB22" i="2"/>
  <c r="JC22" i="2"/>
  <c r="JD22" i="2"/>
  <c r="CT20" i="18" s="1"/>
  <c r="JE22" i="2"/>
  <c r="JF22" i="2"/>
  <c r="EV23" i="2"/>
  <c r="JA23" i="2"/>
  <c r="JB23" i="2"/>
  <c r="JC23" i="2"/>
  <c r="JD23" i="2"/>
  <c r="CT21" i="18" s="1"/>
  <c r="JE23" i="2"/>
  <c r="JF23" i="2"/>
  <c r="EV24" i="2"/>
  <c r="JA24" i="2"/>
  <c r="JB24" i="2"/>
  <c r="JC24" i="2"/>
  <c r="JD24" i="2"/>
  <c r="CT22" i="18" s="1"/>
  <c r="JE24" i="2"/>
  <c r="JF24" i="2"/>
  <c r="EV25" i="2"/>
  <c r="JA25" i="2"/>
  <c r="JB25" i="2"/>
  <c r="JC25" i="2"/>
  <c r="JD25" i="2"/>
  <c r="CT23" i="18" s="1"/>
  <c r="JE25" i="2"/>
  <c r="JF25" i="2"/>
  <c r="EV26" i="2"/>
  <c r="JA26" i="2"/>
  <c r="JB26" i="2"/>
  <c r="JC26" i="2"/>
  <c r="JD26" i="2"/>
  <c r="CT24" i="18" s="1"/>
  <c r="JE26" i="2"/>
  <c r="JF26" i="2"/>
  <c r="EV27" i="2"/>
  <c r="JA27" i="2"/>
  <c r="JB27" i="2"/>
  <c r="JC27" i="2"/>
  <c r="JD27" i="2"/>
  <c r="CT25" i="18" s="1"/>
  <c r="JE27" i="2"/>
  <c r="JF27" i="2"/>
  <c r="EV28" i="2"/>
  <c r="JA28" i="2"/>
  <c r="JB28" i="2"/>
  <c r="JC28" i="2"/>
  <c r="JD28" i="2"/>
  <c r="CT26" i="18" s="1"/>
  <c r="JE28" i="2"/>
  <c r="JF28" i="2"/>
  <c r="EV29" i="2"/>
  <c r="JA29" i="2"/>
  <c r="JB29" i="2"/>
  <c r="JC29" i="2"/>
  <c r="JD29" i="2"/>
  <c r="CT27" i="18" s="1"/>
  <c r="JE29" i="2"/>
  <c r="JF29" i="2"/>
  <c r="EW30" i="2"/>
  <c r="EX30" i="2"/>
  <c r="HI30" i="2"/>
  <c r="HQ30" i="2"/>
  <c r="HR30" i="2"/>
  <c r="HS30" i="2"/>
  <c r="HT30" i="2"/>
  <c r="HU30" i="2"/>
  <c r="HV30" i="2"/>
  <c r="II30" i="2"/>
  <c r="IJ30" i="2"/>
  <c r="IM30" i="2"/>
  <c r="IN30" i="2"/>
  <c r="JS30" i="2"/>
  <c r="JT30" i="2"/>
  <c r="JU30" i="2"/>
  <c r="JV30" i="2"/>
  <c r="JW30" i="2"/>
  <c r="JX30" i="2"/>
  <c r="EV32" i="2"/>
  <c r="EV33" i="2"/>
  <c r="JA34" i="2"/>
  <c r="EW34" i="2"/>
  <c r="EX34" i="2"/>
  <c r="HQ34" i="2"/>
  <c r="HR34" i="2"/>
  <c r="HS34" i="2"/>
  <c r="HT34" i="2"/>
  <c r="HU34" i="2"/>
  <c r="HV34" i="2"/>
  <c r="IF34" i="2"/>
  <c r="II34" i="2"/>
  <c r="IJ34" i="2"/>
  <c r="IK34" i="2"/>
  <c r="IL34" i="2"/>
  <c r="IM34" i="2"/>
  <c r="IN34" i="2"/>
  <c r="JP34" i="2"/>
  <c r="JS34" i="2"/>
  <c r="JT34" i="2"/>
  <c r="JU34" i="2"/>
  <c r="JV34" i="2"/>
  <c r="JW34" i="2"/>
  <c r="JX34" i="2"/>
  <c r="JS37" i="2" l="1"/>
  <c r="JW37" i="2"/>
  <c r="IN37" i="2"/>
  <c r="IJ37" i="2"/>
  <c r="EX37" i="2"/>
  <c r="EX42" i="2" s="1"/>
  <c r="EV30" i="2"/>
  <c r="IM37" i="2"/>
  <c r="EV34" i="2"/>
  <c r="HT37" i="2"/>
  <c r="HV37" i="2"/>
  <c r="IX29" i="2"/>
  <c r="IX25" i="2"/>
  <c r="IX21" i="2"/>
  <c r="IX26" i="2"/>
  <c r="IX22" i="2"/>
  <c r="IX18" i="2"/>
  <c r="IX16" i="2"/>
  <c r="IX12" i="2"/>
  <c r="IX27" i="2"/>
  <c r="IX23" i="2"/>
  <c r="IX19" i="2"/>
  <c r="IX17" i="2"/>
  <c r="IX15" i="2"/>
  <c r="IX13" i="2"/>
  <c r="IX28" i="2"/>
  <c r="IX24" i="2"/>
  <c r="IX20" i="2"/>
  <c r="JX37" i="2"/>
  <c r="JT37" i="2"/>
  <c r="JV37" i="2"/>
  <c r="JU37" i="2"/>
  <c r="HS37" i="2"/>
  <c r="JB30" i="2"/>
  <c r="II37" i="2"/>
  <c r="JA30" i="2"/>
  <c r="JA37" i="2" s="1"/>
  <c r="HN30" i="2"/>
  <c r="EW37" i="2"/>
  <c r="EW42" i="2" s="1"/>
  <c r="IU28" i="2"/>
  <c r="CP26" i="18" s="1"/>
  <c r="JO34" i="2"/>
  <c r="JD34" i="2"/>
  <c r="JF30" i="2"/>
  <c r="ID30" i="2"/>
  <c r="HH34" i="2"/>
  <c r="JC34" i="2"/>
  <c r="JE34" i="2"/>
  <c r="JE30" i="2"/>
  <c r="JN30" i="2"/>
  <c r="ES29" i="2"/>
  <c r="IU24" i="2"/>
  <c r="CP22" i="18" s="1"/>
  <c r="ES15" i="2"/>
  <c r="JL34" i="2"/>
  <c r="HL34" i="2"/>
  <c r="EU34" i="2"/>
  <c r="HQ54" i="2"/>
  <c r="IR14" i="2"/>
  <c r="IR12" i="2"/>
  <c r="HU55" i="2"/>
  <c r="HQ55" i="2"/>
  <c r="HM34" i="2"/>
  <c r="HU37" i="2"/>
  <c r="HU54" i="2"/>
  <c r="IA34" i="2"/>
  <c r="HN34" i="2"/>
  <c r="JP30" i="2"/>
  <c r="JP37" i="2" s="1"/>
  <c r="IU18" i="2"/>
  <c r="CP16" i="18" s="1"/>
  <c r="HQ37" i="2"/>
  <c r="HR37" i="2"/>
  <c r="IC34" i="2"/>
  <c r="IS34" i="2"/>
  <c r="HK34" i="2"/>
  <c r="ET34" i="2"/>
  <c r="IR22" i="2"/>
  <c r="IR20" i="2"/>
  <c r="HK30" i="2"/>
  <c r="ET30" i="2"/>
  <c r="JM30" i="2"/>
  <c r="JM34" i="2"/>
  <c r="HI34" i="2"/>
  <c r="IE30" i="2"/>
  <c r="HJ30" i="2"/>
  <c r="EU30" i="2"/>
  <c r="JF34" i="2"/>
  <c r="IX34" i="2"/>
  <c r="IB34" i="2"/>
  <c r="HZ30" i="2"/>
  <c r="HM30" i="2"/>
  <c r="JO30" i="2"/>
  <c r="JK30" i="2"/>
  <c r="IV29" i="2"/>
  <c r="IR29" i="2"/>
  <c r="IV27" i="2"/>
  <c r="IR27" i="2"/>
  <c r="IV25" i="2"/>
  <c r="IR25" i="2"/>
  <c r="IV23" i="2"/>
  <c r="IR23" i="2"/>
  <c r="IU20" i="2"/>
  <c r="CP18" i="18" s="1"/>
  <c r="IU15" i="2"/>
  <c r="CP13" i="18" s="1"/>
  <c r="JK34" i="2"/>
  <c r="JJ30" i="2"/>
  <c r="IR28" i="2"/>
  <c r="IR26" i="2"/>
  <c r="IR24" i="2"/>
  <c r="IU19" i="2"/>
  <c r="CP17" i="18" s="1"/>
  <c r="IV14" i="2"/>
  <c r="IU12" i="2"/>
  <c r="CP10" i="18" s="1"/>
  <c r="IU29" i="2"/>
  <c r="CP27" i="18" s="1"/>
  <c r="IU27" i="2"/>
  <c r="CP25" i="18" s="1"/>
  <c r="IU25" i="2"/>
  <c r="CP23" i="18" s="1"/>
  <c r="IV21" i="2"/>
  <c r="IR21" i="2"/>
  <c r="IU17" i="2"/>
  <c r="CP15" i="18" s="1"/>
  <c r="IW16" i="2"/>
  <c r="IU23" i="2"/>
  <c r="CP21" i="18" s="1"/>
  <c r="IR16" i="2"/>
  <c r="IS16" i="2"/>
  <c r="IU22" i="2"/>
  <c r="CP20" i="18" s="1"/>
  <c r="IR19" i="2"/>
  <c r="IR18" i="2"/>
  <c r="IU21" i="2"/>
  <c r="CP19" i="18" s="1"/>
  <c r="IU13" i="2"/>
  <c r="CP11" i="18" s="1"/>
  <c r="IW26" i="2"/>
  <c r="IS26" i="2"/>
  <c r="IW25" i="2"/>
  <c r="IW24" i="2"/>
  <c r="IS24" i="2"/>
  <c r="IW22" i="2"/>
  <c r="IS22" i="2"/>
  <c r="IV19" i="2"/>
  <c r="ES17" i="2"/>
  <c r="IV16" i="2"/>
  <c r="IE34" i="2"/>
  <c r="IV28" i="2"/>
  <c r="IV20" i="2"/>
  <c r="ES28" i="2"/>
  <c r="IU26" i="2"/>
  <c r="CP24" i="18" s="1"/>
  <c r="IW20" i="2"/>
  <c r="IS20" i="2"/>
  <c r="IV18" i="2"/>
  <c r="IW14" i="2"/>
  <c r="IS14" i="2"/>
  <c r="IV12" i="2"/>
  <c r="IA30" i="2"/>
  <c r="IV26" i="2"/>
  <c r="IV24" i="2"/>
  <c r="IV22" i="2"/>
  <c r="IW18" i="2"/>
  <c r="IS18" i="2"/>
  <c r="IU16" i="2"/>
  <c r="CP14" i="18" s="1"/>
  <c r="IW12" i="2"/>
  <c r="IS12" i="2"/>
  <c r="ES32" i="2"/>
  <c r="IW29" i="2"/>
  <c r="IS29" i="2"/>
  <c r="IW28" i="2"/>
  <c r="IS28" i="2"/>
  <c r="IW27" i="2"/>
  <c r="IS27" i="2"/>
  <c r="IT26" i="2"/>
  <c r="ES26" i="2"/>
  <c r="IT24" i="2"/>
  <c r="ES24" i="2"/>
  <c r="IT22" i="2"/>
  <c r="ES22" i="2"/>
  <c r="IT20" i="2"/>
  <c r="ES20" i="2"/>
  <c r="IT18" i="2"/>
  <c r="ES18" i="2"/>
  <c r="IT16" i="2"/>
  <c r="ES16" i="2"/>
  <c r="ES14" i="2"/>
  <c r="IT12" i="2"/>
  <c r="ES12" i="2"/>
  <c r="JN34" i="2"/>
  <c r="JJ34" i="2"/>
  <c r="IS25" i="2"/>
  <c r="IW23" i="2"/>
  <c r="IS23" i="2"/>
  <c r="IW21" i="2"/>
  <c r="IS21" i="2"/>
  <c r="IW19" i="2"/>
  <c r="IS19" i="2"/>
  <c r="IW17" i="2"/>
  <c r="IS17" i="2"/>
  <c r="HL30" i="2"/>
  <c r="HH30" i="2"/>
  <c r="IW15" i="2"/>
  <c r="IS15" i="2"/>
  <c r="IW13" i="2"/>
  <c r="IS13" i="2"/>
  <c r="IT29" i="2"/>
  <c r="IT28" i="2"/>
  <c r="IT27" i="2"/>
  <c r="ES27" i="2"/>
  <c r="IT25" i="2"/>
  <c r="ES25" i="2"/>
  <c r="IT23" i="2"/>
  <c r="ES23" i="2"/>
  <c r="IT21" i="2"/>
  <c r="ES21" i="2"/>
  <c r="IT19" i="2"/>
  <c r="ES19" i="2"/>
  <c r="IT17" i="2"/>
  <c r="IT15" i="2"/>
  <c r="IT13" i="2"/>
  <c r="ES13" i="2"/>
  <c r="HJ34" i="2"/>
  <c r="JL30" i="2"/>
  <c r="JB34" i="2"/>
  <c r="ID34" i="2"/>
  <c r="HZ34" i="2"/>
  <c r="II60" i="2" l="1"/>
  <c r="HI37" i="2"/>
  <c r="JE37" i="2"/>
  <c r="EV37" i="2"/>
  <c r="IM60" i="2"/>
  <c r="HV38" i="2"/>
  <c r="HV42" i="2" s="1"/>
  <c r="II56" i="2"/>
  <c r="IM53" i="2"/>
  <c r="HR38" i="2"/>
  <c r="HR42" i="2" s="1"/>
  <c r="IM56" i="2"/>
  <c r="JB37" i="2"/>
  <c r="II59" i="2" s="1"/>
  <c r="JL37" i="2"/>
  <c r="II53" i="2"/>
  <c r="IO13" i="2"/>
  <c r="IO12" i="2"/>
  <c r="IO16" i="2"/>
  <c r="IO20" i="2"/>
  <c r="IO24" i="2"/>
  <c r="IO28" i="2"/>
  <c r="IO22" i="2"/>
  <c r="IO15" i="2"/>
  <c r="IO19" i="2"/>
  <c r="IO23" i="2"/>
  <c r="IO27" i="2"/>
  <c r="IO18" i="2"/>
  <c r="IO26" i="2"/>
  <c r="IO17" i="2"/>
  <c r="IO21" i="2"/>
  <c r="IO25" i="2"/>
  <c r="IO29" i="2"/>
  <c r="JN37" i="2"/>
  <c r="HN37" i="2"/>
  <c r="JF37" i="2"/>
  <c r="ID37" i="2"/>
  <c r="JK37" i="2"/>
  <c r="EU37" i="2"/>
  <c r="B13" i="7" s="1"/>
  <c r="JO37" i="2"/>
  <c r="IE37" i="2"/>
  <c r="ES34" i="2"/>
  <c r="HM37" i="2"/>
  <c r="IA37" i="2"/>
  <c r="HL55" i="2"/>
  <c r="IW34" i="2"/>
  <c r="IR34" i="2"/>
  <c r="HN54" i="2"/>
  <c r="ET37" i="2"/>
  <c r="HN55" i="2"/>
  <c r="HU38" i="2"/>
  <c r="HU42" i="2" s="1"/>
  <c r="HU53" i="2"/>
  <c r="HU57" i="2" s="1"/>
  <c r="HL37" i="2"/>
  <c r="HL54" i="2"/>
  <c r="HH37" i="2"/>
  <c r="HH54" i="2"/>
  <c r="HQ38" i="2"/>
  <c r="HQ42" i="2" s="1"/>
  <c r="HQ53" i="2"/>
  <c r="HQ57" i="2" s="1"/>
  <c r="HH55" i="2"/>
  <c r="HZ37" i="2"/>
  <c r="HJ37" i="2"/>
  <c r="IR30" i="2"/>
  <c r="HK37" i="2"/>
  <c r="IT34" i="2"/>
  <c r="JM37" i="2"/>
  <c r="ES30" i="2"/>
  <c r="IU34" i="2"/>
  <c r="IS30" i="2"/>
  <c r="IS37" i="2" s="1"/>
  <c r="IV34" i="2"/>
  <c r="JJ37" i="2"/>
  <c r="IV30" i="2"/>
  <c r="JG30" i="2"/>
  <c r="JG34" i="2"/>
  <c r="IW30" i="2"/>
  <c r="HW34" i="2"/>
  <c r="HH53" i="2" l="1"/>
  <c r="HI38" i="2"/>
  <c r="B18" i="7" s="1"/>
  <c r="IM59" i="2"/>
  <c r="IF60" i="2"/>
  <c r="II57" i="2"/>
  <c r="IM57" i="2"/>
  <c r="IF56" i="2"/>
  <c r="IF53" i="2"/>
  <c r="IR37" i="2"/>
  <c r="HZ59" i="2" s="1"/>
  <c r="ID60" i="2"/>
  <c r="HL53" i="2"/>
  <c r="HL57" i="2" s="1"/>
  <c r="HM38" i="2"/>
  <c r="B22" i="7" s="1"/>
  <c r="HZ60" i="2"/>
  <c r="ID56" i="2"/>
  <c r="ID53" i="2"/>
  <c r="ES37" i="2"/>
  <c r="IO34" i="2"/>
  <c r="IW37" i="2"/>
  <c r="IF59" i="2"/>
  <c r="IV37" i="2"/>
  <c r="HL38" i="2"/>
  <c r="HH38" i="2"/>
  <c r="HE55" i="2"/>
  <c r="HE54" i="2"/>
  <c r="HZ56" i="2"/>
  <c r="HZ53" i="2"/>
  <c r="HN57" i="2"/>
  <c r="HN53" i="2"/>
  <c r="HH57" i="2"/>
  <c r="HE37" i="2"/>
  <c r="JG37" i="2"/>
  <c r="IF57" i="2" l="1"/>
  <c r="HW60" i="2"/>
  <c r="HW53" i="2"/>
  <c r="ID57" i="2"/>
  <c r="ID59" i="2"/>
  <c r="HZ57" i="2"/>
  <c r="HW56" i="2"/>
  <c r="HE53" i="2"/>
  <c r="HE57" i="2"/>
  <c r="HW57" i="2" l="1"/>
  <c r="HW59" i="2"/>
  <c r="E512" i="8"/>
  <c r="F512" i="8"/>
  <c r="D512" i="8"/>
  <c r="E436" i="8"/>
  <c r="F436" i="8"/>
  <c r="D436" i="8"/>
  <c r="H437" i="8"/>
  <c r="H435" i="8"/>
  <c r="G435" i="8"/>
  <c r="I435" i="8" s="1"/>
  <c r="E329" i="8"/>
  <c r="F329" i="8"/>
  <c r="G436" i="8" l="1"/>
  <c r="I436" i="8" s="1"/>
  <c r="H436" i="8"/>
  <c r="G437" i="8"/>
  <c r="I437" i="8" l="1"/>
  <c r="W32" i="6" l="1"/>
  <c r="W31" i="6"/>
  <c r="W12" i="6"/>
  <c r="W13" i="6"/>
  <c r="W14" i="6"/>
  <c r="W15" i="6"/>
  <c r="W16" i="6"/>
  <c r="W17" i="6"/>
  <c r="W18" i="6"/>
  <c r="W19" i="6"/>
  <c r="W20" i="6"/>
  <c r="W21" i="6"/>
  <c r="W22" i="6"/>
  <c r="W23" i="6"/>
  <c r="W24" i="6"/>
  <c r="W25" i="6"/>
  <c r="W26" i="6"/>
  <c r="W27" i="6"/>
  <c r="W28" i="6"/>
  <c r="W11" i="6"/>
  <c r="V32" i="6" l="1"/>
  <c r="V31" i="6"/>
  <c r="V12" i="6"/>
  <c r="V13" i="6"/>
  <c r="V14" i="6"/>
  <c r="V15" i="6"/>
  <c r="V16" i="6"/>
  <c r="V17" i="6"/>
  <c r="V18" i="6"/>
  <c r="V19" i="6"/>
  <c r="V20" i="6"/>
  <c r="V21" i="6"/>
  <c r="V22" i="6"/>
  <c r="V23" i="6"/>
  <c r="V24" i="6"/>
  <c r="V25" i="6"/>
  <c r="V26" i="6"/>
  <c r="V27" i="6"/>
  <c r="V28" i="6"/>
  <c r="V11" i="6"/>
  <c r="CE32" i="6" l="1"/>
  <c r="CC32" i="6" s="1"/>
  <c r="CE31" i="6"/>
  <c r="CC31" i="6" s="1"/>
  <c r="CE12" i="6"/>
  <c r="CC12" i="6" s="1"/>
  <c r="CE13" i="6"/>
  <c r="CC13" i="6" s="1"/>
  <c r="CE14" i="6"/>
  <c r="CC14" i="6" s="1"/>
  <c r="CE15" i="6"/>
  <c r="CC15" i="6" s="1"/>
  <c r="CE16" i="6"/>
  <c r="CC16" i="6" s="1"/>
  <c r="CE17" i="6"/>
  <c r="CC17" i="6" s="1"/>
  <c r="CE18" i="6"/>
  <c r="CC18" i="6" s="1"/>
  <c r="CE19" i="6"/>
  <c r="CC19" i="6" s="1"/>
  <c r="CE20" i="6"/>
  <c r="CC20" i="6" s="1"/>
  <c r="CE21" i="6"/>
  <c r="CC21" i="6" s="1"/>
  <c r="CE22" i="6"/>
  <c r="CC22" i="6" s="1"/>
  <c r="CE23" i="6"/>
  <c r="CC23" i="6" s="1"/>
  <c r="CE24" i="6"/>
  <c r="CC24" i="6" s="1"/>
  <c r="CE25" i="6"/>
  <c r="CC25" i="6" s="1"/>
  <c r="CE26" i="6"/>
  <c r="CC26" i="6" s="1"/>
  <c r="CE27" i="6"/>
  <c r="CC27" i="6" s="1"/>
  <c r="CE28" i="6"/>
  <c r="CC28" i="6" s="1"/>
  <c r="CE11" i="6"/>
  <c r="CC11" i="6" s="1"/>
  <c r="CE33" i="6" l="1"/>
  <c r="CE29" i="6"/>
  <c r="CE36" i="6" l="1"/>
  <c r="CD27" i="6"/>
  <c r="CB27" i="6" s="1"/>
  <c r="CD23" i="6"/>
  <c r="CB23" i="6" s="1"/>
  <c r="CD19" i="6"/>
  <c r="CB19" i="6" s="1"/>
  <c r="CD15" i="6"/>
  <c r="CB15" i="6" s="1"/>
  <c r="CD28" i="6"/>
  <c r="CB28" i="6" s="1"/>
  <c r="CD24" i="6"/>
  <c r="CB24" i="6" s="1"/>
  <c r="CD20" i="6"/>
  <c r="CB20" i="6" s="1"/>
  <c r="CD16" i="6"/>
  <c r="CB16" i="6" s="1"/>
  <c r="CD12" i="6"/>
  <c r="CB12" i="6" s="1"/>
  <c r="CD11" i="6"/>
  <c r="CB11" i="6" s="1"/>
  <c r="CD25" i="6"/>
  <c r="CB25" i="6" s="1"/>
  <c r="CD21" i="6"/>
  <c r="CB21" i="6" s="1"/>
  <c r="CD17" i="6"/>
  <c r="CB17" i="6" s="1"/>
  <c r="CD26" i="6"/>
  <c r="CB26" i="6" s="1"/>
  <c r="CD22" i="6"/>
  <c r="CB22" i="6" s="1"/>
  <c r="CD18" i="6"/>
  <c r="CB18" i="6" s="1"/>
  <c r="CD14" i="6"/>
  <c r="CB14" i="6" s="1"/>
  <c r="CD32" i="6"/>
  <c r="CB32" i="6" s="1"/>
  <c r="CD31" i="6"/>
  <c r="CB31" i="6" s="1"/>
  <c r="CD13" i="6"/>
  <c r="CB13" i="6" s="1"/>
  <c r="F23" i="11"/>
  <c r="F24" i="11"/>
  <c r="F21" i="11" l="1"/>
  <c r="C52" i="7"/>
  <c r="CD29" i="6"/>
  <c r="CD33" i="6"/>
  <c r="B52" i="7" l="1"/>
  <c r="E24" i="11"/>
  <c r="CD36" i="6"/>
  <c r="G24" i="11" l="1"/>
  <c r="I24" i="11" s="1"/>
  <c r="H24" i="11"/>
  <c r="F19" i="11" l="1"/>
  <c r="B56" i="7" l="1"/>
  <c r="E19" i="11"/>
  <c r="B55" i="7"/>
  <c r="C55" i="7"/>
  <c r="C56" i="7"/>
  <c r="D340" i="8"/>
  <c r="G19" i="11" l="1"/>
  <c r="F41" i="11"/>
  <c r="F47" i="11" s="1"/>
  <c r="F12" i="11"/>
  <c r="E12" i="11"/>
  <c r="E41" i="11"/>
  <c r="B58" i="7"/>
  <c r="C58" i="7"/>
  <c r="H19" i="11"/>
  <c r="C8" i="5"/>
  <c r="RZ12" i="2" s="1"/>
  <c r="RW12" i="2" s="1"/>
  <c r="RV12" i="2" s="1"/>
  <c r="C9" i="5"/>
  <c r="RZ13" i="2" s="1"/>
  <c r="C10" i="5"/>
  <c r="RZ14" i="2" s="1"/>
  <c r="RW14" i="2" s="1"/>
  <c r="RV14" i="2" s="1"/>
  <c r="C11" i="5"/>
  <c r="RZ15" i="2" s="1"/>
  <c r="RW15" i="2" s="1"/>
  <c r="RV15" i="2" s="1"/>
  <c r="C12" i="5"/>
  <c r="RZ16" i="2" s="1"/>
  <c r="RW16" i="2" s="1"/>
  <c r="RV16" i="2" s="1"/>
  <c r="C13" i="5"/>
  <c r="RZ17" i="2" s="1"/>
  <c r="RW17" i="2" s="1"/>
  <c r="RV17" i="2" s="1"/>
  <c r="C14" i="5"/>
  <c r="RZ18" i="2" s="1"/>
  <c r="RW18" i="2" s="1"/>
  <c r="RV18" i="2" s="1"/>
  <c r="C15" i="5"/>
  <c r="RZ19" i="2" s="1"/>
  <c r="RW19" i="2" s="1"/>
  <c r="RV19" i="2" s="1"/>
  <c r="C16" i="5"/>
  <c r="RZ20" i="2" s="1"/>
  <c r="RW20" i="2" s="1"/>
  <c r="RV20" i="2" s="1"/>
  <c r="C17" i="5"/>
  <c r="RZ21" i="2" s="1"/>
  <c r="RW21" i="2" s="1"/>
  <c r="RV21" i="2" s="1"/>
  <c r="C18" i="5"/>
  <c r="RZ22" i="2" s="1"/>
  <c r="RW22" i="2" s="1"/>
  <c r="RV22" i="2" s="1"/>
  <c r="C19" i="5"/>
  <c r="RZ23" i="2" s="1"/>
  <c r="RW23" i="2" s="1"/>
  <c r="RV23" i="2" s="1"/>
  <c r="C20" i="5"/>
  <c r="RZ24" i="2" s="1"/>
  <c r="RW24" i="2" s="1"/>
  <c r="RV24" i="2" s="1"/>
  <c r="C21" i="5"/>
  <c r="RZ25" i="2" s="1"/>
  <c r="RW25" i="2" s="1"/>
  <c r="RV25" i="2" s="1"/>
  <c r="C22" i="5"/>
  <c r="RZ26" i="2" s="1"/>
  <c r="RW26" i="2" s="1"/>
  <c r="RV26" i="2" s="1"/>
  <c r="C23" i="5"/>
  <c r="RZ27" i="2" s="1"/>
  <c r="RW27" i="2" s="1"/>
  <c r="RV27" i="2" s="1"/>
  <c r="C24" i="5"/>
  <c r="RZ28" i="2" s="1"/>
  <c r="RW28" i="2" s="1"/>
  <c r="RV28" i="2" s="1"/>
  <c r="C25" i="5"/>
  <c r="RZ29" i="2" s="1"/>
  <c r="RW29" i="2" s="1"/>
  <c r="RV29" i="2" s="1"/>
  <c r="C26" i="5"/>
  <c r="RZ32" i="2" s="1"/>
  <c r="C27" i="5"/>
  <c r="RZ33" i="2" s="1"/>
  <c r="RW33" i="2" s="1"/>
  <c r="RV33" i="2" s="1"/>
  <c r="I22" i="11"/>
  <c r="H22" i="11"/>
  <c r="GD12" i="2"/>
  <c r="GJ12" i="2"/>
  <c r="GQ12" i="2"/>
  <c r="GR12" i="2"/>
  <c r="CD10" i="18" s="1"/>
  <c r="J10" i="18" s="1"/>
  <c r="C10" i="18" s="1"/>
  <c r="GV12" i="2"/>
  <c r="GD13" i="2"/>
  <c r="GJ13" i="2"/>
  <c r="GQ13" i="2"/>
  <c r="GR13" i="2"/>
  <c r="CD11" i="18" s="1"/>
  <c r="J11" i="18" s="1"/>
  <c r="C11" i="18" s="1"/>
  <c r="GV13" i="2"/>
  <c r="GD14" i="2"/>
  <c r="GJ14" i="2"/>
  <c r="GQ14" i="2"/>
  <c r="GR14" i="2"/>
  <c r="CD12" i="18" s="1"/>
  <c r="GV14" i="2"/>
  <c r="GD15" i="2"/>
  <c r="GJ15" i="2"/>
  <c r="GQ15" i="2"/>
  <c r="GR15" i="2"/>
  <c r="CD13" i="18" s="1"/>
  <c r="J13" i="18" s="1"/>
  <c r="C13" i="18" s="1"/>
  <c r="GV15" i="2"/>
  <c r="GJ16" i="2"/>
  <c r="GQ16" i="2"/>
  <c r="GR16" i="2"/>
  <c r="CD14" i="18" s="1"/>
  <c r="J14" i="18" s="1"/>
  <c r="GV16" i="2"/>
  <c r="GD17" i="2"/>
  <c r="GJ17" i="2"/>
  <c r="GQ17" i="2"/>
  <c r="GR17" i="2"/>
  <c r="CD15" i="18" s="1"/>
  <c r="J15" i="18" s="1"/>
  <c r="C15" i="18" s="1"/>
  <c r="GV17" i="2"/>
  <c r="GD18" i="2"/>
  <c r="GJ18" i="2"/>
  <c r="GQ18" i="2"/>
  <c r="GR18" i="2"/>
  <c r="CD16" i="18" s="1"/>
  <c r="J16" i="18" s="1"/>
  <c r="C16" i="18" s="1"/>
  <c r="GV18" i="2"/>
  <c r="GD19" i="2"/>
  <c r="GV19" i="2"/>
  <c r="GJ20" i="2"/>
  <c r="GQ20" i="2"/>
  <c r="GR20" i="2"/>
  <c r="CD18" i="18" s="1"/>
  <c r="J18" i="18" s="1"/>
  <c r="GV20" i="2"/>
  <c r="GD21" i="2"/>
  <c r="GJ21" i="2"/>
  <c r="GQ21" i="2"/>
  <c r="GR21" i="2"/>
  <c r="CD19" i="18" s="1"/>
  <c r="J19" i="18" s="1"/>
  <c r="C19" i="18" s="1"/>
  <c r="GV21" i="2"/>
  <c r="GD22" i="2"/>
  <c r="GJ22" i="2"/>
  <c r="GQ22" i="2"/>
  <c r="GR22" i="2"/>
  <c r="CD20" i="18" s="1"/>
  <c r="J20" i="18" s="1"/>
  <c r="C20" i="18" s="1"/>
  <c r="GV22" i="2"/>
  <c r="GD23" i="2"/>
  <c r="GJ23" i="2"/>
  <c r="GQ23" i="2"/>
  <c r="GR23" i="2"/>
  <c r="CD21" i="18" s="1"/>
  <c r="J21" i="18" s="1"/>
  <c r="C21" i="18" s="1"/>
  <c r="GV23" i="2"/>
  <c r="GD24" i="2"/>
  <c r="GJ24" i="2"/>
  <c r="GQ24" i="2"/>
  <c r="GR24" i="2"/>
  <c r="CD22" i="18" s="1"/>
  <c r="J22" i="18" s="1"/>
  <c r="C22" i="18" s="1"/>
  <c r="GV24" i="2"/>
  <c r="GD25" i="2"/>
  <c r="GJ25" i="2"/>
  <c r="GQ25" i="2"/>
  <c r="GR25" i="2"/>
  <c r="CD23" i="18" s="1"/>
  <c r="J23" i="18" s="1"/>
  <c r="C23" i="18" s="1"/>
  <c r="GV25" i="2"/>
  <c r="GJ26" i="2"/>
  <c r="GF26" i="2" s="1"/>
  <c r="GQ26" i="2"/>
  <c r="GR26" i="2"/>
  <c r="CD24" i="18" s="1"/>
  <c r="J24" i="18" s="1"/>
  <c r="GV26" i="2"/>
  <c r="GD27" i="2"/>
  <c r="GJ27" i="2"/>
  <c r="GQ27" i="2"/>
  <c r="GR27" i="2"/>
  <c r="CD25" i="18" s="1"/>
  <c r="J25" i="18" s="1"/>
  <c r="C25" i="18" s="1"/>
  <c r="GV27" i="2"/>
  <c r="GD28" i="2"/>
  <c r="GJ28" i="2"/>
  <c r="GQ28" i="2"/>
  <c r="GR28" i="2"/>
  <c r="CD26" i="18" s="1"/>
  <c r="J26" i="18" s="1"/>
  <c r="C26" i="18" s="1"/>
  <c r="GV28" i="2"/>
  <c r="GD29" i="2"/>
  <c r="GJ29" i="2"/>
  <c r="GQ29" i="2"/>
  <c r="GR29" i="2"/>
  <c r="CD27" i="18" s="1"/>
  <c r="J27" i="18" s="1"/>
  <c r="C27" i="18" s="1"/>
  <c r="GV29" i="2"/>
  <c r="GW30" i="2"/>
  <c r="GX30" i="2"/>
  <c r="GD32" i="2"/>
  <c r="GD33" i="2"/>
  <c r="GE34" i="2"/>
  <c r="GF34" i="2"/>
  <c r="GK34" i="2"/>
  <c r="GL34" i="2"/>
  <c r="GW34" i="2"/>
  <c r="GX34" i="2"/>
  <c r="BH32" i="6"/>
  <c r="BH31" i="6"/>
  <c r="BH12" i="6"/>
  <c r="BH13" i="6"/>
  <c r="BH15" i="6"/>
  <c r="BH16" i="6"/>
  <c r="BH17" i="6"/>
  <c r="BH19" i="6"/>
  <c r="BH20" i="6"/>
  <c r="BH21" i="6"/>
  <c r="BH22" i="6"/>
  <c r="BH23" i="6"/>
  <c r="BH24" i="6"/>
  <c r="BH25" i="6"/>
  <c r="BH26" i="6"/>
  <c r="BH28" i="6"/>
  <c r="BH11" i="6"/>
  <c r="FX33" i="2"/>
  <c r="EC33" i="2"/>
  <c r="FX32" i="2"/>
  <c r="EC32" i="2"/>
  <c r="BP13" i="2"/>
  <c r="BQ13" i="2"/>
  <c r="BS13" i="2"/>
  <c r="BT13" i="2"/>
  <c r="QM13" i="2"/>
  <c r="QN13" i="2"/>
  <c r="EC13" i="2"/>
  <c r="FX13" i="2"/>
  <c r="BP14" i="2"/>
  <c r="BQ14" i="2"/>
  <c r="BS14" i="2"/>
  <c r="BT14" i="2"/>
  <c r="QM14" i="2"/>
  <c r="QN14" i="2"/>
  <c r="DR14" i="2"/>
  <c r="EC14" i="2"/>
  <c r="FX14" i="2"/>
  <c r="BP15" i="2"/>
  <c r="BQ15" i="2"/>
  <c r="BS15" i="2"/>
  <c r="BT15" i="2"/>
  <c r="QM15" i="2"/>
  <c r="QN15" i="2"/>
  <c r="DR15" i="2"/>
  <c r="EC15" i="2"/>
  <c r="FX15" i="2"/>
  <c r="BP16" i="2"/>
  <c r="BQ16" i="2"/>
  <c r="BS16" i="2"/>
  <c r="BT16" i="2"/>
  <c r="QM16" i="2"/>
  <c r="QN16" i="2"/>
  <c r="DR16" i="2"/>
  <c r="EC16" i="2"/>
  <c r="FX16" i="2"/>
  <c r="BP17" i="2"/>
  <c r="BQ17" i="2"/>
  <c r="BS17" i="2"/>
  <c r="BT17" i="2"/>
  <c r="QM17" i="2"/>
  <c r="QN17" i="2"/>
  <c r="DR17" i="2"/>
  <c r="EC17" i="2"/>
  <c r="FX17" i="2"/>
  <c r="BP18" i="2"/>
  <c r="BQ18" i="2"/>
  <c r="BS18" i="2"/>
  <c r="BT18" i="2"/>
  <c r="QM18" i="2"/>
  <c r="QN18" i="2"/>
  <c r="DR18" i="2"/>
  <c r="EC18" i="2"/>
  <c r="FX18" i="2"/>
  <c r="BP19" i="2"/>
  <c r="BQ19" i="2"/>
  <c r="BS19" i="2"/>
  <c r="BT19" i="2"/>
  <c r="QM19" i="2"/>
  <c r="QN19" i="2"/>
  <c r="DR19" i="2"/>
  <c r="EC19" i="2"/>
  <c r="FX19" i="2"/>
  <c r="BP20" i="2"/>
  <c r="BQ20" i="2"/>
  <c r="BS20" i="2"/>
  <c r="BT20" i="2"/>
  <c r="QM20" i="2"/>
  <c r="QN20" i="2"/>
  <c r="DR20" i="2"/>
  <c r="EC20" i="2"/>
  <c r="FX20" i="2"/>
  <c r="BP21" i="2"/>
  <c r="BQ21" i="2"/>
  <c r="BS21" i="2"/>
  <c r="BT21" i="2"/>
  <c r="QM21" i="2"/>
  <c r="QN21" i="2"/>
  <c r="DR21" i="2"/>
  <c r="EC21" i="2"/>
  <c r="FX21" i="2"/>
  <c r="BP22" i="2"/>
  <c r="BQ22" i="2"/>
  <c r="BS22" i="2"/>
  <c r="BT22" i="2"/>
  <c r="QM22" i="2"/>
  <c r="QN22" i="2"/>
  <c r="DR22" i="2"/>
  <c r="EC22" i="2"/>
  <c r="FX22" i="2"/>
  <c r="BP23" i="2"/>
  <c r="BQ23" i="2"/>
  <c r="BS23" i="2"/>
  <c r="BT23" i="2"/>
  <c r="QM23" i="2"/>
  <c r="QN23" i="2"/>
  <c r="DR23" i="2"/>
  <c r="EC23" i="2"/>
  <c r="FX23" i="2"/>
  <c r="BP24" i="2"/>
  <c r="BQ24" i="2"/>
  <c r="BS24" i="2"/>
  <c r="BT24" i="2"/>
  <c r="QM24" i="2"/>
  <c r="QN24" i="2"/>
  <c r="DR24" i="2"/>
  <c r="EC24" i="2"/>
  <c r="FX24" i="2"/>
  <c r="BP25" i="2"/>
  <c r="BQ25" i="2"/>
  <c r="BS25" i="2"/>
  <c r="BT25" i="2"/>
  <c r="QM25" i="2"/>
  <c r="QN25" i="2"/>
  <c r="DR25" i="2"/>
  <c r="EC25" i="2"/>
  <c r="FX25" i="2"/>
  <c r="BP26" i="2"/>
  <c r="BQ26" i="2"/>
  <c r="BS26" i="2"/>
  <c r="BT26" i="2"/>
  <c r="QM26" i="2"/>
  <c r="QN26" i="2"/>
  <c r="DR26" i="2"/>
  <c r="EC26" i="2"/>
  <c r="FX26" i="2"/>
  <c r="BP27" i="2"/>
  <c r="BQ27" i="2"/>
  <c r="BS27" i="2"/>
  <c r="BT27" i="2"/>
  <c r="QM27" i="2"/>
  <c r="QN27" i="2"/>
  <c r="DR27" i="2"/>
  <c r="EC27" i="2"/>
  <c r="FX27" i="2"/>
  <c r="BP28" i="2"/>
  <c r="BQ28" i="2"/>
  <c r="BS28" i="2"/>
  <c r="BT28" i="2"/>
  <c r="QM28" i="2"/>
  <c r="QN28" i="2"/>
  <c r="DR28" i="2"/>
  <c r="EC28" i="2"/>
  <c r="FX28" i="2"/>
  <c r="BP29" i="2"/>
  <c r="BQ29" i="2"/>
  <c r="BS29" i="2"/>
  <c r="BT29" i="2"/>
  <c r="QM29" i="2"/>
  <c r="QN29" i="2"/>
  <c r="DR29" i="2"/>
  <c r="EC29" i="2"/>
  <c r="FX29" i="2"/>
  <c r="CW8" i="4"/>
  <c r="CE8" i="4"/>
  <c r="BY8" i="4"/>
  <c r="W8" i="4"/>
  <c r="CC24" i="18" l="1"/>
  <c r="CB24" i="18"/>
  <c r="GD26" i="2"/>
  <c r="QH19" i="2"/>
  <c r="BO24" i="2"/>
  <c r="BO29" i="2"/>
  <c r="BO25" i="2"/>
  <c r="BO21" i="2"/>
  <c r="BO17" i="2"/>
  <c r="BO26" i="2"/>
  <c r="BO22" i="2"/>
  <c r="BO18" i="2"/>
  <c r="BO14" i="2"/>
  <c r="BO13" i="2"/>
  <c r="BO27" i="2"/>
  <c r="BO23" i="2"/>
  <c r="BO19" i="2"/>
  <c r="BO15" i="2"/>
  <c r="BO28" i="2"/>
  <c r="BO20" i="2"/>
  <c r="BO16" i="2"/>
  <c r="QH13" i="2"/>
  <c r="QH14" i="2"/>
  <c r="QH29" i="2"/>
  <c r="QH27" i="2"/>
  <c r="QH25" i="2"/>
  <c r="QH23" i="2"/>
  <c r="QH21" i="2"/>
  <c r="QH17" i="2"/>
  <c r="QH15" i="2"/>
  <c r="QH28" i="2"/>
  <c r="QH26" i="2"/>
  <c r="QH24" i="2"/>
  <c r="QH22" i="2"/>
  <c r="QH20" i="2"/>
  <c r="QH18" i="2"/>
  <c r="QH16" i="2"/>
  <c r="I19" i="11"/>
  <c r="G41" i="11"/>
  <c r="RW13" i="2"/>
  <c r="RZ30" i="2"/>
  <c r="RW32" i="2"/>
  <c r="RZ34" i="2"/>
  <c r="SX30" i="2"/>
  <c r="SX34" i="2"/>
  <c r="SX46" i="2" s="1"/>
  <c r="GW37" i="2"/>
  <c r="GV34" i="2"/>
  <c r="GP29" i="2"/>
  <c r="GP21" i="2"/>
  <c r="GP25" i="2"/>
  <c r="GR34" i="2"/>
  <c r="GD34" i="2"/>
  <c r="GD55" i="2" s="1"/>
  <c r="GX37" i="2"/>
  <c r="GJ34" i="2"/>
  <c r="GV30" i="2"/>
  <c r="GP17" i="2"/>
  <c r="GP28" i="2"/>
  <c r="GP24" i="2"/>
  <c r="GP16" i="2"/>
  <c r="GP12" i="2"/>
  <c r="GQ34" i="2"/>
  <c r="GP14" i="2"/>
  <c r="GP26" i="2"/>
  <c r="GP22" i="2"/>
  <c r="GP18" i="2"/>
  <c r="GP13" i="2"/>
  <c r="GP20" i="2"/>
  <c r="GP27" i="2"/>
  <c r="GP23" i="2"/>
  <c r="GP15" i="2"/>
  <c r="BL8" i="4"/>
  <c r="B27" i="5"/>
  <c r="RY33" i="2" s="1"/>
  <c r="RT33" i="2" s="1"/>
  <c r="RS33" i="2" s="1"/>
  <c r="B26" i="5"/>
  <c r="RY32" i="2" s="1"/>
  <c r="B25" i="5"/>
  <c r="RY29" i="2" s="1"/>
  <c r="RT29" i="2" s="1"/>
  <c r="RS29" i="2" s="1"/>
  <c r="B24" i="5"/>
  <c r="RY28" i="2" s="1"/>
  <c r="RT28" i="2" s="1"/>
  <c r="RS28" i="2" s="1"/>
  <c r="B23" i="5"/>
  <c r="RY27" i="2" s="1"/>
  <c r="RT27" i="2" s="1"/>
  <c r="RS27" i="2" s="1"/>
  <c r="B22" i="5"/>
  <c r="RY26" i="2" s="1"/>
  <c r="RT26" i="2" s="1"/>
  <c r="RS26" i="2" s="1"/>
  <c r="B21" i="5"/>
  <c r="RY25" i="2" s="1"/>
  <c r="RT25" i="2" s="1"/>
  <c r="RS25" i="2" s="1"/>
  <c r="B20" i="5"/>
  <c r="RY24" i="2" s="1"/>
  <c r="RT24" i="2" s="1"/>
  <c r="RS24" i="2" s="1"/>
  <c r="B19" i="5"/>
  <c r="RY23" i="2" s="1"/>
  <c r="RT23" i="2" s="1"/>
  <c r="RS23" i="2" s="1"/>
  <c r="B18" i="5"/>
  <c r="RY22" i="2" s="1"/>
  <c r="RT22" i="2" s="1"/>
  <c r="RS22" i="2" s="1"/>
  <c r="B17" i="5"/>
  <c r="RY21" i="2" s="1"/>
  <c r="RT21" i="2" s="1"/>
  <c r="RS21" i="2" s="1"/>
  <c r="B16" i="5"/>
  <c r="RY20" i="2" s="1"/>
  <c r="RT20" i="2" s="1"/>
  <c r="RS20" i="2" s="1"/>
  <c r="B15" i="5"/>
  <c r="RY19" i="2" s="1"/>
  <c r="RT19" i="2" s="1"/>
  <c r="RS19" i="2" s="1"/>
  <c r="B14" i="5"/>
  <c r="RY18" i="2" s="1"/>
  <c r="RT18" i="2" s="1"/>
  <c r="RS18" i="2" s="1"/>
  <c r="B13" i="5"/>
  <c r="RY17" i="2" s="1"/>
  <c r="RT17" i="2" s="1"/>
  <c r="RS17" i="2" s="1"/>
  <c r="B12" i="5"/>
  <c r="RY16" i="2" s="1"/>
  <c r="RT16" i="2" s="1"/>
  <c r="RS16" i="2" s="1"/>
  <c r="B11" i="5"/>
  <c r="RY15" i="2" s="1"/>
  <c r="RT15" i="2" s="1"/>
  <c r="RS15" i="2" s="1"/>
  <c r="B10" i="5"/>
  <c r="RY14" i="2" s="1"/>
  <c r="RT14" i="2" s="1"/>
  <c r="RS14" i="2" s="1"/>
  <c r="B9" i="5"/>
  <c r="RY13" i="2" s="1"/>
  <c r="RT13" i="2" s="1"/>
  <c r="RS13" i="2" s="1"/>
  <c r="B8" i="5"/>
  <c r="RY12" i="2" s="1"/>
  <c r="QE18" i="2"/>
  <c r="BJ18" i="2"/>
  <c r="BK17" i="2"/>
  <c r="GS24" i="2"/>
  <c r="AB23" i="1" s="1"/>
  <c r="GS23" i="2"/>
  <c r="AB22" i="1" s="1"/>
  <c r="GA23" i="2"/>
  <c r="GG21" i="2"/>
  <c r="BX8" i="4"/>
  <c r="DQ14" i="2"/>
  <c r="GO18" i="2"/>
  <c r="BZ16" i="18" s="1"/>
  <c r="CD8" i="4"/>
  <c r="QE29" i="2"/>
  <c r="BJ29" i="2"/>
  <c r="BK28" i="2"/>
  <c r="BN27" i="2"/>
  <c r="BM27" i="2"/>
  <c r="QD26" i="2"/>
  <c r="BN23" i="2"/>
  <c r="BM23" i="2"/>
  <c r="QE21" i="2"/>
  <c r="BJ21" i="2"/>
  <c r="BK20" i="2"/>
  <c r="BN19" i="2"/>
  <c r="BM19" i="2"/>
  <c r="QD18" i="2"/>
  <c r="QE17" i="2"/>
  <c r="BJ17" i="2"/>
  <c r="BK16" i="2"/>
  <c r="BN15" i="2"/>
  <c r="BM15" i="2"/>
  <c r="GA17" i="2"/>
  <c r="BK14" i="2"/>
  <c r="GT34" i="2"/>
  <c r="GS28" i="2"/>
  <c r="GS29" i="2"/>
  <c r="GA29" i="2"/>
  <c r="GG27" i="2"/>
  <c r="GO24" i="2"/>
  <c r="BZ22" i="18" s="1"/>
  <c r="F22" i="18" s="1"/>
  <c r="B22" i="18" s="1"/>
  <c r="GS21" i="2"/>
  <c r="AB20" i="1" s="1"/>
  <c r="GA21" i="2"/>
  <c r="GS27" i="2"/>
  <c r="GA27" i="2"/>
  <c r="GG25" i="2"/>
  <c r="GA18" i="2"/>
  <c r="GN17" i="2"/>
  <c r="GG16" i="2"/>
  <c r="GC34" i="2"/>
  <c r="DQ18" i="2"/>
  <c r="FU13" i="2"/>
  <c r="GO25" i="2"/>
  <c r="BZ23" i="18" s="1"/>
  <c r="F23" i="18" s="1"/>
  <c r="B23" i="18" s="1"/>
  <c r="DQ21" i="2"/>
  <c r="GN28" i="2"/>
  <c r="GS25" i="2"/>
  <c r="AB24" i="1" s="1"/>
  <c r="GA25" i="2"/>
  <c r="GG23" i="2"/>
  <c r="GO20" i="2"/>
  <c r="BZ18" i="18" s="1"/>
  <c r="F18" i="18" s="1"/>
  <c r="GS18" i="2"/>
  <c r="GO17" i="2"/>
  <c r="BZ15" i="18" s="1"/>
  <c r="F15" i="18" s="1"/>
  <c r="GO15" i="2"/>
  <c r="BZ13" i="18" s="1"/>
  <c r="GS14" i="2"/>
  <c r="GA13" i="2"/>
  <c r="GO12" i="2"/>
  <c r="BZ10" i="18" s="1"/>
  <c r="FU14" i="2"/>
  <c r="GG29" i="2"/>
  <c r="GO23" i="2"/>
  <c r="BZ21" i="18" s="1"/>
  <c r="F21" i="18" s="1"/>
  <c r="B21" i="18" s="1"/>
  <c r="GU34" i="2"/>
  <c r="GO22" i="2"/>
  <c r="BZ20" i="18" s="1"/>
  <c r="F20" i="18" s="1"/>
  <c r="B20" i="18" s="1"/>
  <c r="GO21" i="2"/>
  <c r="BZ19" i="18" s="1"/>
  <c r="F19" i="18" s="1"/>
  <c r="B19" i="18" s="1"/>
  <c r="BN18" i="2"/>
  <c r="FU17" i="2"/>
  <c r="DQ25" i="2"/>
  <c r="FU18" i="2"/>
  <c r="DQ16" i="2"/>
  <c r="BN16" i="2"/>
  <c r="BM16" i="2"/>
  <c r="GO29" i="2"/>
  <c r="BZ27" i="18" s="1"/>
  <c r="F27" i="18" s="1"/>
  <c r="B27" i="18" s="1"/>
  <c r="GO27" i="2"/>
  <c r="BZ25" i="18" s="1"/>
  <c r="F25" i="18" s="1"/>
  <c r="B25" i="18" s="1"/>
  <c r="GN26" i="2"/>
  <c r="GS22" i="2"/>
  <c r="GO16" i="2"/>
  <c r="BZ14" i="18" s="1"/>
  <c r="F14" i="18" s="1"/>
  <c r="GG15" i="2"/>
  <c r="BM18" i="2"/>
  <c r="BK29" i="2"/>
  <c r="BN28" i="2"/>
  <c r="BM28" i="2"/>
  <c r="FU27" i="2"/>
  <c r="QE26" i="2"/>
  <c r="BJ26" i="2"/>
  <c r="BK25" i="2"/>
  <c r="BN24" i="2"/>
  <c r="BM24" i="2"/>
  <c r="FU23" i="2"/>
  <c r="QD23" i="2"/>
  <c r="QE22" i="2"/>
  <c r="BJ22" i="2"/>
  <c r="BK21" i="2"/>
  <c r="BN20" i="2"/>
  <c r="BM20" i="2"/>
  <c r="FU19" i="2"/>
  <c r="BK18" i="2"/>
  <c r="QD16" i="2"/>
  <c r="QE15" i="2"/>
  <c r="BJ15" i="2"/>
  <c r="GA32" i="2"/>
  <c r="GO28" i="2"/>
  <c r="BZ26" i="18" s="1"/>
  <c r="F26" i="18" s="1"/>
  <c r="GO26" i="2"/>
  <c r="BZ24" i="18" s="1"/>
  <c r="F24" i="18" s="1"/>
  <c r="B24" i="18" s="1"/>
  <c r="GN24" i="2"/>
  <c r="GN22" i="2"/>
  <c r="GN20" i="2"/>
  <c r="GA15" i="2"/>
  <c r="GO14" i="2"/>
  <c r="BZ12" i="18" s="1"/>
  <c r="GA14" i="2"/>
  <c r="BK22" i="2"/>
  <c r="BN21" i="2"/>
  <c r="BM21" i="2"/>
  <c r="FU20" i="2"/>
  <c r="QD20" i="2"/>
  <c r="QD14" i="2"/>
  <c r="QE13" i="2"/>
  <c r="BJ13" i="2"/>
  <c r="FU32" i="2"/>
  <c r="GA28" i="2"/>
  <c r="GA26" i="2"/>
  <c r="GA24" i="2"/>
  <c r="GA22" i="2"/>
  <c r="GA19" i="2"/>
  <c r="GS17" i="2"/>
  <c r="AB16" i="1" s="1"/>
  <c r="GS16" i="2"/>
  <c r="AB15" i="1" s="1"/>
  <c r="GN15" i="2"/>
  <c r="GG14" i="2"/>
  <c r="GG13" i="2"/>
  <c r="GA12" i="2"/>
  <c r="QE28" i="2"/>
  <c r="FU26" i="2"/>
  <c r="QE25" i="2"/>
  <c r="BJ25" i="2"/>
  <c r="FU15" i="2"/>
  <c r="GH34" i="2"/>
  <c r="GN29" i="2"/>
  <c r="GN27" i="2"/>
  <c r="GS26" i="2"/>
  <c r="AB25" i="1" s="1"/>
  <c r="GN25" i="2"/>
  <c r="GN23" i="2"/>
  <c r="GN21" i="2"/>
  <c r="GS20" i="2"/>
  <c r="GG18" i="2"/>
  <c r="GG17" i="2"/>
  <c r="GS13" i="2"/>
  <c r="GS12" i="2"/>
  <c r="DQ28" i="2"/>
  <c r="DQ24" i="2"/>
  <c r="DQ20" i="2"/>
  <c r="DQ17" i="2"/>
  <c r="DQ15" i="2"/>
  <c r="GI34" i="2"/>
  <c r="GG28" i="2"/>
  <c r="GG26" i="2"/>
  <c r="GG24" i="2"/>
  <c r="GG22" i="2"/>
  <c r="GG20" i="2"/>
  <c r="GS15" i="2"/>
  <c r="GO13" i="2"/>
  <c r="BZ11" i="18" s="1"/>
  <c r="F11" i="18" s="1"/>
  <c r="B11" i="18" s="1"/>
  <c r="GN13" i="2"/>
  <c r="GG12" i="2"/>
  <c r="BN29" i="2"/>
  <c r="BM29" i="2"/>
  <c r="FU28" i="2"/>
  <c r="DQ26" i="2"/>
  <c r="QE23" i="2"/>
  <c r="BJ23" i="2"/>
  <c r="DQ22" i="2"/>
  <c r="QD21" i="2"/>
  <c r="QE20" i="2"/>
  <c r="BJ20" i="2"/>
  <c r="BJ28" i="2"/>
  <c r="BN26" i="2"/>
  <c r="BM26" i="2"/>
  <c r="QD25" i="2"/>
  <c r="FU22" i="2"/>
  <c r="DU20" i="2"/>
  <c r="BN14" i="2"/>
  <c r="BM14" i="2"/>
  <c r="GB34" i="2"/>
  <c r="GN18" i="2"/>
  <c r="GN16" i="2"/>
  <c r="GN14" i="2"/>
  <c r="GN12" i="2"/>
  <c r="DQ19" i="2"/>
  <c r="QE19" i="2"/>
  <c r="BJ19" i="2"/>
  <c r="FU16" i="2"/>
  <c r="DU32" i="2"/>
  <c r="DQ29" i="2"/>
  <c r="QE16" i="2"/>
  <c r="BJ16" i="2"/>
  <c r="QD28" i="2"/>
  <c r="PY28" i="2" s="1"/>
  <c r="DU27" i="2"/>
  <c r="DQ27" i="2"/>
  <c r="QD27" i="2"/>
  <c r="DU26" i="2"/>
  <c r="BK26" i="2"/>
  <c r="FU25" i="2"/>
  <c r="BN25" i="2"/>
  <c r="BM25" i="2"/>
  <c r="FU24" i="2"/>
  <c r="BK24" i="2"/>
  <c r="QE24" i="2"/>
  <c r="QD22" i="2"/>
  <c r="BN22" i="2"/>
  <c r="BM22" i="2"/>
  <c r="FU21" i="2"/>
  <c r="QD19" i="2"/>
  <c r="DU18" i="2"/>
  <c r="BN17" i="2"/>
  <c r="BM17" i="2"/>
  <c r="QD15" i="2"/>
  <c r="DU14" i="2"/>
  <c r="BN13" i="2"/>
  <c r="BM13" i="2"/>
  <c r="BK13" i="2"/>
  <c r="FU29" i="2"/>
  <c r="DU24" i="2"/>
  <c r="DU21" i="2"/>
  <c r="QD29" i="2"/>
  <c r="DU28" i="2"/>
  <c r="QE27" i="2"/>
  <c r="BJ27" i="2"/>
  <c r="DU25" i="2"/>
  <c r="BK23" i="2"/>
  <c r="DU17" i="2"/>
  <c r="QD17" i="2"/>
  <c r="DU16" i="2"/>
  <c r="DU13" i="2"/>
  <c r="QD13" i="2"/>
  <c r="DU29" i="2"/>
  <c r="BK27" i="2"/>
  <c r="QD24" i="2"/>
  <c r="DU23" i="2"/>
  <c r="DQ23" i="2"/>
  <c r="DU22" i="2"/>
  <c r="DU19" i="2"/>
  <c r="BK19" i="2"/>
  <c r="DU15" i="2"/>
  <c r="BK15" i="2"/>
  <c r="QE14" i="2"/>
  <c r="BJ14" i="2"/>
  <c r="I24" i="18" l="1"/>
  <c r="H24" i="18"/>
  <c r="F10" i="18"/>
  <c r="BI20" i="2"/>
  <c r="BI14" i="2"/>
  <c r="BI27" i="2"/>
  <c r="BI16" i="2"/>
  <c r="BI28" i="2"/>
  <c r="BI25" i="2"/>
  <c r="BI13" i="2"/>
  <c r="BI18" i="2"/>
  <c r="BI23" i="2"/>
  <c r="BI15" i="2"/>
  <c r="BI22" i="2"/>
  <c r="BI17" i="2"/>
  <c r="BI26" i="2"/>
  <c r="BI19" i="2"/>
  <c r="BI21" i="2"/>
  <c r="BI29" i="2"/>
  <c r="PY29" i="2"/>
  <c r="PY21" i="2"/>
  <c r="PY19" i="2"/>
  <c r="PY20" i="2"/>
  <c r="PG24" i="2"/>
  <c r="PY24" i="2"/>
  <c r="PG17" i="2"/>
  <c r="PY17" i="2"/>
  <c r="PY27" i="2"/>
  <c r="PG22" i="2"/>
  <c r="PY22" i="2"/>
  <c r="PY14" i="2"/>
  <c r="PG13" i="2"/>
  <c r="PY13" i="2"/>
  <c r="PG25" i="2"/>
  <c r="PY25" i="2"/>
  <c r="PG18" i="2"/>
  <c r="PY18" i="2"/>
  <c r="PY16" i="2"/>
  <c r="PY23" i="2"/>
  <c r="PY26" i="2"/>
  <c r="PG19" i="2"/>
  <c r="PG21" i="2"/>
  <c r="PG28" i="2"/>
  <c r="PG53" i="2"/>
  <c r="PG20" i="2"/>
  <c r="PG29" i="2"/>
  <c r="PG54" i="2"/>
  <c r="PG14" i="2"/>
  <c r="PG16" i="2"/>
  <c r="PG23" i="2"/>
  <c r="PG26" i="2"/>
  <c r="PG27" i="2"/>
  <c r="AB14" i="1"/>
  <c r="AB17" i="1"/>
  <c r="AB19" i="1"/>
  <c r="AB27" i="1"/>
  <c r="AB28" i="1"/>
  <c r="RZ37" i="2"/>
  <c r="RY34" i="2"/>
  <c r="RT32" i="2"/>
  <c r="RW30" i="2"/>
  <c r="RV13" i="2"/>
  <c r="RV30" i="2" s="1"/>
  <c r="RY30" i="2"/>
  <c r="RT12" i="2"/>
  <c r="RV32" i="2"/>
  <c r="RV34" i="2" s="1"/>
  <c r="RV46" i="2" s="1"/>
  <c r="RW34" i="2"/>
  <c r="GV37" i="2"/>
  <c r="GD60" i="2" s="1"/>
  <c r="SX47" i="2"/>
  <c r="SX37" i="2"/>
  <c r="SX38" i="2" s="1"/>
  <c r="SX49" i="2"/>
  <c r="SX50" i="2" s="1"/>
  <c r="SX43" i="2"/>
  <c r="GP34" i="2"/>
  <c r="GM24" i="2"/>
  <c r="GM17" i="2"/>
  <c r="GM29" i="2"/>
  <c r="GA34" i="2"/>
  <c r="GA55" i="2" s="1"/>
  <c r="GM26" i="2"/>
  <c r="GM25" i="2"/>
  <c r="E23" i="11"/>
  <c r="GM22" i="2"/>
  <c r="GM14" i="2"/>
  <c r="GM15" i="2"/>
  <c r="GO34" i="2"/>
  <c r="GM28" i="2"/>
  <c r="GM18" i="2"/>
  <c r="GM20" i="2"/>
  <c r="GM13" i="2"/>
  <c r="GM16" i="2"/>
  <c r="GM23" i="2"/>
  <c r="GS34" i="2"/>
  <c r="GM27" i="2"/>
  <c r="GM21" i="2"/>
  <c r="GG34" i="2"/>
  <c r="GM12" i="2"/>
  <c r="GN34" i="2"/>
  <c r="C24" i="18" l="1"/>
  <c r="B10" i="18"/>
  <c r="RY37" i="2"/>
  <c r="RT30" i="2"/>
  <c r="RS12" i="2"/>
  <c r="RS30" i="2" s="1"/>
  <c r="RT34" i="2"/>
  <c r="RS32" i="2"/>
  <c r="RS34" i="2" s="1"/>
  <c r="RS46" i="2" s="1"/>
  <c r="RW37" i="2"/>
  <c r="RV37" i="2"/>
  <c r="RV38" i="2" s="1"/>
  <c r="SW34" i="2"/>
  <c r="SW46" i="2" s="1"/>
  <c r="SX51" i="2"/>
  <c r="SW43" i="2"/>
  <c r="SW49" i="2"/>
  <c r="SW30" i="2"/>
  <c r="GM34" i="2"/>
  <c r="RT37" i="2" l="1"/>
  <c r="RS37" i="2"/>
  <c r="RS38" i="2" s="1"/>
  <c r="SW50" i="2"/>
  <c r="RS47" i="2"/>
  <c r="SW47" i="2"/>
  <c r="SW37" i="2"/>
  <c r="E21" i="11"/>
  <c r="G23" i="11"/>
  <c r="H23" i="11"/>
  <c r="H21" i="11" l="1"/>
  <c r="RS51" i="2"/>
  <c r="SW51" i="2"/>
  <c r="I23" i="11"/>
  <c r="G21" i="11"/>
  <c r="D284" i="8"/>
  <c r="EC12" i="2"/>
  <c r="EC30" i="2" s="1"/>
  <c r="EC54" i="2" s="1"/>
  <c r="ED34" i="2"/>
  <c r="ED30" i="2"/>
  <c r="D341" i="8"/>
  <c r="O30" i="3"/>
  <c r="E32" i="5"/>
  <c r="E31" i="5"/>
  <c r="E28" i="5"/>
  <c r="BT34" i="2"/>
  <c r="BT12" i="2"/>
  <c r="BT30" i="2" s="1"/>
  <c r="BN34" i="2"/>
  <c r="BZ34" i="2"/>
  <c r="CF34" i="2"/>
  <c r="CF30" i="2"/>
  <c r="BH34" i="2"/>
  <c r="BH30" i="2"/>
  <c r="AV34" i="2"/>
  <c r="AV55" i="2" s="1"/>
  <c r="AV30" i="2"/>
  <c r="AV54" i="2" s="1"/>
  <c r="D414" i="8"/>
  <c r="C22" i="16" s="1"/>
  <c r="H413" i="8"/>
  <c r="G413" i="8"/>
  <c r="I413" i="8" s="1"/>
  <c r="J257" i="8"/>
  <c r="J143" i="8"/>
  <c r="H9" i="11"/>
  <c r="I9" i="11"/>
  <c r="H13" i="11"/>
  <c r="I13" i="11"/>
  <c r="H11" i="8"/>
  <c r="I11" i="8"/>
  <c r="G12" i="8"/>
  <c r="I12" i="8" s="1"/>
  <c r="H12" i="8"/>
  <c r="D13" i="8"/>
  <c r="E13" i="8"/>
  <c r="F13" i="8"/>
  <c r="G14" i="8"/>
  <c r="I14" i="8" s="1"/>
  <c r="H14" i="8"/>
  <c r="D16" i="8"/>
  <c r="D17" i="8" s="1"/>
  <c r="D19" i="8"/>
  <c r="D20" i="8" s="1"/>
  <c r="D31" i="8"/>
  <c r="D32" i="8" s="1"/>
  <c r="H33" i="8"/>
  <c r="I33" i="8"/>
  <c r="H37" i="8"/>
  <c r="I37" i="8"/>
  <c r="D42" i="8"/>
  <c r="J44" i="8"/>
  <c r="G45" i="8"/>
  <c r="H45" i="8"/>
  <c r="D46" i="8"/>
  <c r="G48" i="8"/>
  <c r="I48" i="8" s="1"/>
  <c r="H48" i="8"/>
  <c r="D49" i="8"/>
  <c r="J406" i="8"/>
  <c r="G407" i="8"/>
  <c r="I407" i="8" s="1"/>
  <c r="H407" i="8"/>
  <c r="D408" i="8"/>
  <c r="G410" i="8"/>
  <c r="I410" i="8" s="1"/>
  <c r="H410" i="8"/>
  <c r="D411" i="8"/>
  <c r="H53" i="8"/>
  <c r="I53" i="8"/>
  <c r="H57" i="8"/>
  <c r="I57" i="8"/>
  <c r="D59" i="8"/>
  <c r="D62" i="8"/>
  <c r="D63" i="8" s="1"/>
  <c r="H73" i="8"/>
  <c r="I73" i="8"/>
  <c r="H78" i="8"/>
  <c r="I78" i="8"/>
  <c r="J79" i="8"/>
  <c r="L79" i="8" s="1"/>
  <c r="G80" i="8"/>
  <c r="I80" i="8" s="1"/>
  <c r="H80" i="8"/>
  <c r="D81" i="8"/>
  <c r="G83" i="8"/>
  <c r="I83" i="8" s="1"/>
  <c r="H83" i="8"/>
  <c r="D84" i="8"/>
  <c r="H86" i="8"/>
  <c r="I86" i="8"/>
  <c r="D87" i="8"/>
  <c r="C23" i="16" s="1"/>
  <c r="D89" i="8"/>
  <c r="H108" i="8"/>
  <c r="I108" i="8"/>
  <c r="H112" i="8"/>
  <c r="I112" i="8"/>
  <c r="D114" i="8"/>
  <c r="D117" i="8"/>
  <c r="D118" i="8" s="1"/>
  <c r="D120" i="8"/>
  <c r="D121" i="8" s="1"/>
  <c r="D123" i="8"/>
  <c r="D124" i="8" s="1"/>
  <c r="D126" i="8"/>
  <c r="D127" i="8" s="1"/>
  <c r="G144" i="8"/>
  <c r="I144" i="8" s="1"/>
  <c r="H144" i="8"/>
  <c r="D145" i="8"/>
  <c r="G147" i="8"/>
  <c r="I147" i="8" s="1"/>
  <c r="H147" i="8"/>
  <c r="D148" i="8"/>
  <c r="G129" i="8"/>
  <c r="I129" i="8" s="1"/>
  <c r="H129" i="8"/>
  <c r="D130" i="8"/>
  <c r="C13" i="16" s="1"/>
  <c r="J134" i="8"/>
  <c r="D138" i="8"/>
  <c r="D141" i="8"/>
  <c r="D142" i="8" s="1"/>
  <c r="D154" i="8"/>
  <c r="D156" i="8"/>
  <c r="D157" i="8" s="1"/>
  <c r="H158" i="8"/>
  <c r="I158" i="8"/>
  <c r="H162" i="8"/>
  <c r="I162" i="8"/>
  <c r="G164" i="8"/>
  <c r="H164" i="8"/>
  <c r="D165" i="8"/>
  <c r="G167" i="8"/>
  <c r="I167" i="8" s="1"/>
  <c r="H167" i="8"/>
  <c r="D168" i="8"/>
  <c r="C12" i="16" s="1"/>
  <c r="I172" i="8"/>
  <c r="H177" i="8"/>
  <c r="I177" i="8"/>
  <c r="J187" i="8"/>
  <c r="G188" i="8"/>
  <c r="H188" i="8"/>
  <c r="D189" i="8"/>
  <c r="G191" i="8"/>
  <c r="I191" i="8" s="1"/>
  <c r="H191" i="8"/>
  <c r="D192" i="8"/>
  <c r="G194" i="8"/>
  <c r="I194" i="8" s="1"/>
  <c r="H194" i="8"/>
  <c r="D195" i="8"/>
  <c r="C18" i="16" s="1"/>
  <c r="I200" i="8"/>
  <c r="H205" i="8"/>
  <c r="I205" i="8"/>
  <c r="J206" i="8"/>
  <c r="K206" i="8" s="1"/>
  <c r="G232" i="8"/>
  <c r="H232" i="8"/>
  <c r="H243" i="8"/>
  <c r="I243" i="8"/>
  <c r="D245" i="8"/>
  <c r="I251" i="8"/>
  <c r="H256" i="8"/>
  <c r="I256" i="8"/>
  <c r="D258" i="8"/>
  <c r="G259" i="8"/>
  <c r="I259" i="8" s="1"/>
  <c r="H259" i="8"/>
  <c r="D261" i="8"/>
  <c r="G262" i="8"/>
  <c r="I262" i="8" s="1"/>
  <c r="H262" i="8"/>
  <c r="D264" i="8"/>
  <c r="G265" i="8"/>
  <c r="I265" i="8" s="1"/>
  <c r="H265" i="8"/>
  <c r="G274" i="8"/>
  <c r="H274" i="8"/>
  <c r="D275" i="8"/>
  <c r="E275" i="8"/>
  <c r="F275" i="8"/>
  <c r="G276" i="8"/>
  <c r="H276" i="8"/>
  <c r="H277" i="8"/>
  <c r="I277" i="8"/>
  <c r="H282" i="8"/>
  <c r="I282" i="8"/>
  <c r="D293" i="8"/>
  <c r="J295" i="8"/>
  <c r="D296" i="8"/>
  <c r="D297" i="8" s="1"/>
  <c r="D299" i="8"/>
  <c r="D300" i="8" s="1"/>
  <c r="I302" i="8"/>
  <c r="H302" i="8"/>
  <c r="D493" i="8"/>
  <c r="I306" i="8"/>
  <c r="H306" i="8"/>
  <c r="G317" i="8"/>
  <c r="H317" i="8"/>
  <c r="D318" i="8"/>
  <c r="E318" i="8"/>
  <c r="F318" i="8"/>
  <c r="G319" i="8"/>
  <c r="I319" i="8" s="1"/>
  <c r="H319" i="8"/>
  <c r="H320" i="8"/>
  <c r="I320" i="8"/>
  <c r="D321" i="8"/>
  <c r="H324" i="8"/>
  <c r="I324" i="8"/>
  <c r="D326" i="8"/>
  <c r="D327" i="8" s="1"/>
  <c r="G328" i="8"/>
  <c r="I328" i="8" s="1"/>
  <c r="H328" i="8"/>
  <c r="H331" i="8"/>
  <c r="I331" i="8"/>
  <c r="H335" i="8"/>
  <c r="I335" i="8"/>
  <c r="D337" i="8"/>
  <c r="G342" i="8"/>
  <c r="I342" i="8" s="1"/>
  <c r="H342" i="8"/>
  <c r="D343" i="8"/>
  <c r="D344" i="8" s="1"/>
  <c r="E343" i="8"/>
  <c r="E344" i="8" s="1"/>
  <c r="F343" i="8"/>
  <c r="F344" i="8" s="1"/>
  <c r="H345" i="8"/>
  <c r="I345" i="8"/>
  <c r="H349" i="8"/>
  <c r="I349" i="8"/>
  <c r="D351" i="8"/>
  <c r="D352" i="8" s="1"/>
  <c r="D360" i="8"/>
  <c r="H363" i="8"/>
  <c r="I363" i="8"/>
  <c r="D364" i="8"/>
  <c r="C6" i="16" s="1"/>
  <c r="J365" i="8"/>
  <c r="D366" i="8"/>
  <c r="D367" i="8" s="1"/>
  <c r="D369" i="8"/>
  <c r="D372" i="8"/>
  <c r="D373" i="8" s="1"/>
  <c r="J371" i="8"/>
  <c r="D381" i="8"/>
  <c r="J383" i="8"/>
  <c r="D387" i="8"/>
  <c r="D393" i="8"/>
  <c r="D394" i="8" s="1"/>
  <c r="G395" i="8"/>
  <c r="I395" i="8" s="1"/>
  <c r="H395" i="8"/>
  <c r="D396" i="8"/>
  <c r="E396" i="8"/>
  <c r="F396" i="8"/>
  <c r="G397" i="8"/>
  <c r="I397" i="8" s="1"/>
  <c r="H397" i="8"/>
  <c r="I398" i="8"/>
  <c r="H402" i="8"/>
  <c r="I402" i="8"/>
  <c r="G403" i="8"/>
  <c r="I403" i="8" s="1"/>
  <c r="H403" i="8"/>
  <c r="G404" i="8"/>
  <c r="G400" i="8" s="1"/>
  <c r="H404" i="8"/>
  <c r="I415" i="8"/>
  <c r="H419" i="8"/>
  <c r="I419" i="8"/>
  <c r="D433" i="8"/>
  <c r="D417" i="8" s="1"/>
  <c r="J426" i="8"/>
  <c r="H427" i="8"/>
  <c r="H430" i="8"/>
  <c r="H450" i="8"/>
  <c r="I450" i="8"/>
  <c r="G451" i="8"/>
  <c r="I451" i="8" s="1"/>
  <c r="H451" i="8"/>
  <c r="D452" i="8"/>
  <c r="E452" i="8"/>
  <c r="F452" i="8"/>
  <c r="G453" i="8"/>
  <c r="I453" i="8" s="1"/>
  <c r="H453" i="8"/>
  <c r="H460" i="8"/>
  <c r="I460" i="8"/>
  <c r="D13" i="9"/>
  <c r="C15" i="9"/>
  <c r="BA11" i="6"/>
  <c r="BC11" i="6"/>
  <c r="AQ11" i="6"/>
  <c r="BG11" i="6"/>
  <c r="BK11" i="6"/>
  <c r="BE11" i="6"/>
  <c r="G11" i="6"/>
  <c r="K11" i="6"/>
  <c r="M11" i="6"/>
  <c r="Y11" i="6"/>
  <c r="AC11" i="6"/>
  <c r="AE11" i="6"/>
  <c r="AG11" i="6"/>
  <c r="AK11" i="6"/>
  <c r="AS11" i="6"/>
  <c r="AU11" i="6"/>
  <c r="AW11" i="6"/>
  <c r="BO11" i="6"/>
  <c r="BQ11" i="6"/>
  <c r="BS11" i="6"/>
  <c r="BU11" i="6"/>
  <c r="BW11" i="6"/>
  <c r="BY11" i="6"/>
  <c r="BA12" i="6"/>
  <c r="BC12" i="6"/>
  <c r="AQ12" i="6"/>
  <c r="BG12" i="6"/>
  <c r="BK12" i="6"/>
  <c r="BE12" i="6"/>
  <c r="G12" i="6"/>
  <c r="K12" i="6"/>
  <c r="M12" i="6"/>
  <c r="Y12" i="6"/>
  <c r="AC12" i="6"/>
  <c r="AE12" i="6"/>
  <c r="AG12" i="6"/>
  <c r="AK12" i="6"/>
  <c r="AS12" i="6"/>
  <c r="AU12" i="6"/>
  <c r="AW12" i="6"/>
  <c r="BO12" i="6"/>
  <c r="BQ12" i="6"/>
  <c r="BS12" i="6"/>
  <c r="BU12" i="6"/>
  <c r="BW12" i="6"/>
  <c r="BY12" i="6"/>
  <c r="BA13" i="6"/>
  <c r="BC13" i="6"/>
  <c r="AQ13" i="6"/>
  <c r="BG13" i="6"/>
  <c r="BK13" i="6"/>
  <c r="BE13" i="6"/>
  <c r="G13" i="6"/>
  <c r="K13" i="6"/>
  <c r="M13" i="6"/>
  <c r="Y13" i="6"/>
  <c r="AC13" i="6"/>
  <c r="AG13" i="6"/>
  <c r="AK13" i="6"/>
  <c r="AS13" i="6"/>
  <c r="AU13" i="6"/>
  <c r="AW13" i="6"/>
  <c r="BO13" i="6"/>
  <c r="BQ13" i="6"/>
  <c r="BS13" i="6"/>
  <c r="BU13" i="6"/>
  <c r="BW13" i="6"/>
  <c r="BY13" i="6"/>
  <c r="BA14" i="6"/>
  <c r="BC14" i="6"/>
  <c r="AQ14" i="6"/>
  <c r="BG14" i="6"/>
  <c r="BK14" i="6"/>
  <c r="BE14" i="6"/>
  <c r="G14" i="6"/>
  <c r="K14" i="6"/>
  <c r="M14" i="6"/>
  <c r="Y14" i="6"/>
  <c r="AC14" i="6"/>
  <c r="AE14" i="6"/>
  <c r="AG14" i="6"/>
  <c r="AK14" i="6"/>
  <c r="AS14" i="6"/>
  <c r="AU14" i="6"/>
  <c r="AW14" i="6"/>
  <c r="BO14" i="6"/>
  <c r="BQ14" i="6"/>
  <c r="BS14" i="6"/>
  <c r="BU14" i="6"/>
  <c r="BW14" i="6"/>
  <c r="BY14" i="6"/>
  <c r="BA15" i="6"/>
  <c r="BC15" i="6"/>
  <c r="AQ15" i="6"/>
  <c r="BG15" i="6"/>
  <c r="BK15" i="6"/>
  <c r="BE15" i="6"/>
  <c r="G15" i="6"/>
  <c r="K15" i="6"/>
  <c r="M15" i="6"/>
  <c r="AC15" i="6"/>
  <c r="AE15" i="6"/>
  <c r="AG15" i="6"/>
  <c r="AK15" i="6"/>
  <c r="AS15" i="6"/>
  <c r="AU15" i="6"/>
  <c r="AW15" i="6"/>
  <c r="BO15" i="6"/>
  <c r="BQ15" i="6"/>
  <c r="BS15" i="6"/>
  <c r="BU15" i="6"/>
  <c r="BW15" i="6"/>
  <c r="BY15" i="6"/>
  <c r="BA16" i="6"/>
  <c r="BC16" i="6"/>
  <c r="AQ16" i="6"/>
  <c r="BG16" i="6"/>
  <c r="BK16" i="6"/>
  <c r="BE16" i="6"/>
  <c r="G16" i="6"/>
  <c r="K16" i="6"/>
  <c r="M16" i="6"/>
  <c r="Y16" i="6"/>
  <c r="AC16" i="6"/>
  <c r="AE16" i="6"/>
  <c r="AG16" i="6"/>
  <c r="AK16" i="6"/>
  <c r="AS16" i="6"/>
  <c r="AU16" i="6"/>
  <c r="AW16" i="6"/>
  <c r="BO16" i="6"/>
  <c r="BQ16" i="6"/>
  <c r="BS16" i="6"/>
  <c r="BU16" i="6"/>
  <c r="BW16" i="6"/>
  <c r="BY16" i="6"/>
  <c r="BA17" i="6"/>
  <c r="BC17" i="6"/>
  <c r="AQ17" i="6"/>
  <c r="BG17" i="6"/>
  <c r="BK17" i="6"/>
  <c r="BE17" i="6"/>
  <c r="G17" i="6"/>
  <c r="K17" i="6"/>
  <c r="M17" i="6"/>
  <c r="Y17" i="6"/>
  <c r="AC17" i="6"/>
  <c r="AE17" i="6"/>
  <c r="AG17" i="6"/>
  <c r="AK17" i="6"/>
  <c r="AS17" i="6"/>
  <c r="AU17" i="6"/>
  <c r="AW17" i="6"/>
  <c r="BO17" i="6"/>
  <c r="BQ17" i="6"/>
  <c r="BS17" i="6"/>
  <c r="BU17" i="6"/>
  <c r="BW17" i="6"/>
  <c r="BY17" i="6"/>
  <c r="BA18" i="6"/>
  <c r="BC18" i="6"/>
  <c r="AQ18" i="6"/>
  <c r="BG18" i="6"/>
  <c r="BK18" i="6"/>
  <c r="BE18" i="6"/>
  <c r="G18" i="6"/>
  <c r="K18" i="6"/>
  <c r="M18" i="6"/>
  <c r="AC18" i="6"/>
  <c r="AE18" i="6"/>
  <c r="AG18" i="6"/>
  <c r="AK18" i="6"/>
  <c r="AS18" i="6"/>
  <c r="AU18" i="6"/>
  <c r="AW18" i="6"/>
  <c r="BO18" i="6"/>
  <c r="BQ18" i="6"/>
  <c r="BS18" i="6"/>
  <c r="BU18" i="6"/>
  <c r="BW18" i="6"/>
  <c r="BY18" i="6"/>
  <c r="BA19" i="6"/>
  <c r="BC19" i="6"/>
  <c r="AQ19" i="6"/>
  <c r="BG19" i="6"/>
  <c r="BK19" i="6"/>
  <c r="BE19" i="6"/>
  <c r="G19" i="6"/>
  <c r="K19" i="6"/>
  <c r="M19" i="6"/>
  <c r="AC19" i="6"/>
  <c r="AE19" i="6"/>
  <c r="AG19" i="6"/>
  <c r="AK19" i="6"/>
  <c r="AS19" i="6"/>
  <c r="AU19" i="6"/>
  <c r="AW19" i="6"/>
  <c r="BO19" i="6"/>
  <c r="BQ19" i="6"/>
  <c r="BS19" i="6"/>
  <c r="BU19" i="6"/>
  <c r="BW19" i="6"/>
  <c r="BY19" i="6"/>
  <c r="BA20" i="6"/>
  <c r="BC20" i="6"/>
  <c r="AQ20" i="6"/>
  <c r="BG20" i="6"/>
  <c r="BK20" i="6"/>
  <c r="BE20" i="6"/>
  <c r="G20" i="6"/>
  <c r="K20" i="6"/>
  <c r="M20" i="6"/>
  <c r="Y20" i="6"/>
  <c r="AC20" i="6"/>
  <c r="AE20" i="6"/>
  <c r="AG20" i="6"/>
  <c r="AK20" i="6"/>
  <c r="AS20" i="6"/>
  <c r="AU20" i="6"/>
  <c r="AW20" i="6"/>
  <c r="BO20" i="6"/>
  <c r="BQ20" i="6"/>
  <c r="BS20" i="6"/>
  <c r="BU20" i="6"/>
  <c r="BW20" i="6"/>
  <c r="BY20" i="6"/>
  <c r="BA21" i="6"/>
  <c r="BC21" i="6"/>
  <c r="AQ21" i="6"/>
  <c r="BG21" i="6"/>
  <c r="BK21" i="6"/>
  <c r="BE21" i="6"/>
  <c r="G21" i="6"/>
  <c r="K21" i="6"/>
  <c r="M21" i="6"/>
  <c r="Y21" i="6"/>
  <c r="AC21" i="6"/>
  <c r="AE21" i="6"/>
  <c r="AG21" i="6"/>
  <c r="AK21" i="6"/>
  <c r="AS21" i="6"/>
  <c r="AU21" i="6"/>
  <c r="AW21" i="6"/>
  <c r="BO21" i="6"/>
  <c r="BQ21" i="6"/>
  <c r="BS21" i="6"/>
  <c r="BU21" i="6"/>
  <c r="BW21" i="6"/>
  <c r="BY21" i="6"/>
  <c r="BA22" i="6"/>
  <c r="BC22" i="6"/>
  <c r="AQ22" i="6"/>
  <c r="BG22" i="6"/>
  <c r="BK22" i="6"/>
  <c r="BE22" i="6"/>
  <c r="G22" i="6"/>
  <c r="K22" i="6"/>
  <c r="M22" i="6"/>
  <c r="Y22" i="6"/>
  <c r="AC22" i="6"/>
  <c r="AE22" i="6"/>
  <c r="AG22" i="6"/>
  <c r="AK22" i="6"/>
  <c r="AS22" i="6"/>
  <c r="AU22" i="6"/>
  <c r="AW22" i="6"/>
  <c r="BO22" i="6"/>
  <c r="BQ22" i="6"/>
  <c r="BS22" i="6"/>
  <c r="BU22" i="6"/>
  <c r="BW22" i="6"/>
  <c r="BY22" i="6"/>
  <c r="BA23" i="6"/>
  <c r="BC23" i="6"/>
  <c r="AQ23" i="6"/>
  <c r="BG23" i="6"/>
  <c r="BK23" i="6"/>
  <c r="BE23" i="6"/>
  <c r="G23" i="6"/>
  <c r="K23" i="6"/>
  <c r="M23" i="6"/>
  <c r="Y23" i="6"/>
  <c r="AC23" i="6"/>
  <c r="AE23" i="6"/>
  <c r="AG23" i="6"/>
  <c r="AK23" i="6"/>
  <c r="AS23" i="6"/>
  <c r="AU23" i="6"/>
  <c r="AW23" i="6"/>
  <c r="BO23" i="6"/>
  <c r="BQ23" i="6"/>
  <c r="BS23" i="6"/>
  <c r="BU23" i="6"/>
  <c r="BW23" i="6"/>
  <c r="BY23" i="6"/>
  <c r="BA24" i="6"/>
  <c r="BC24" i="6"/>
  <c r="AQ24" i="6"/>
  <c r="BG24" i="6"/>
  <c r="BK24" i="6"/>
  <c r="BE24" i="6"/>
  <c r="G24" i="6"/>
  <c r="K24" i="6"/>
  <c r="M24" i="6"/>
  <c r="Y24" i="6"/>
  <c r="AC24" i="6"/>
  <c r="AE24" i="6"/>
  <c r="AG24" i="6"/>
  <c r="AK24" i="6"/>
  <c r="AS24" i="6"/>
  <c r="AU24" i="6"/>
  <c r="AW24" i="6"/>
  <c r="BO24" i="6"/>
  <c r="BQ24" i="6"/>
  <c r="BS24" i="6"/>
  <c r="BU24" i="6"/>
  <c r="BW24" i="6"/>
  <c r="BY24" i="6"/>
  <c r="BA25" i="6"/>
  <c r="BC25" i="6"/>
  <c r="AQ25" i="6"/>
  <c r="BG25" i="6"/>
  <c r="BK25" i="6"/>
  <c r="BE25" i="6"/>
  <c r="G25" i="6"/>
  <c r="K25" i="6"/>
  <c r="M25" i="6"/>
  <c r="Y25" i="6"/>
  <c r="AC25" i="6"/>
  <c r="AE25" i="6"/>
  <c r="AG25" i="6"/>
  <c r="AK25" i="6"/>
  <c r="AS25" i="6"/>
  <c r="AU25" i="6"/>
  <c r="AW25" i="6"/>
  <c r="BO25" i="6"/>
  <c r="BQ25" i="6"/>
  <c r="BS25" i="6"/>
  <c r="BU25" i="6"/>
  <c r="BW25" i="6"/>
  <c r="BY25" i="6"/>
  <c r="BA26" i="6"/>
  <c r="BC26" i="6"/>
  <c r="AQ26" i="6"/>
  <c r="BG26" i="6"/>
  <c r="BK26" i="6"/>
  <c r="BE26" i="6"/>
  <c r="G26" i="6"/>
  <c r="K26" i="6"/>
  <c r="M26" i="6"/>
  <c r="Y26" i="6"/>
  <c r="AC26" i="6"/>
  <c r="AE26" i="6"/>
  <c r="AG26" i="6"/>
  <c r="AK26" i="6"/>
  <c r="AS26" i="6"/>
  <c r="AU26" i="6"/>
  <c r="AW26" i="6"/>
  <c r="BO26" i="6"/>
  <c r="BQ26" i="6"/>
  <c r="BS26" i="6"/>
  <c r="BU26" i="6"/>
  <c r="BW26" i="6"/>
  <c r="BY26" i="6"/>
  <c r="BA27" i="6"/>
  <c r="BC27" i="6"/>
  <c r="AQ27" i="6"/>
  <c r="BG27" i="6"/>
  <c r="BK27" i="6"/>
  <c r="BE27" i="6"/>
  <c r="G27" i="6"/>
  <c r="K27" i="6"/>
  <c r="M27" i="6"/>
  <c r="Y27" i="6"/>
  <c r="AC27" i="6"/>
  <c r="AE27" i="6"/>
  <c r="AG27" i="6"/>
  <c r="AK27" i="6"/>
  <c r="AS27" i="6"/>
  <c r="AU27" i="6"/>
  <c r="AW27" i="6"/>
  <c r="BO27" i="6"/>
  <c r="BQ27" i="6"/>
  <c r="BS27" i="6"/>
  <c r="BU27" i="6"/>
  <c r="BW27" i="6"/>
  <c r="BY27" i="6"/>
  <c r="BA28" i="6"/>
  <c r="BC28" i="6"/>
  <c r="AQ28" i="6"/>
  <c r="BG28" i="6"/>
  <c r="BK28" i="6"/>
  <c r="BE28" i="6"/>
  <c r="G28" i="6"/>
  <c r="K28" i="6"/>
  <c r="M28" i="6"/>
  <c r="Y28" i="6"/>
  <c r="AC28" i="6"/>
  <c r="AE28" i="6"/>
  <c r="AG28" i="6"/>
  <c r="AK28" i="6"/>
  <c r="AS28" i="6"/>
  <c r="AU28" i="6"/>
  <c r="AW28" i="6"/>
  <c r="BO28" i="6"/>
  <c r="BQ28" i="6"/>
  <c r="BS28" i="6"/>
  <c r="BU28" i="6"/>
  <c r="BW28" i="6"/>
  <c r="BY28" i="6"/>
  <c r="AZ31" i="6"/>
  <c r="BA31" i="6"/>
  <c r="BC31" i="6"/>
  <c r="AQ31" i="6"/>
  <c r="BF31" i="6"/>
  <c r="BG31" i="6"/>
  <c r="BK31" i="6"/>
  <c r="BE31" i="6"/>
  <c r="G31" i="6"/>
  <c r="K31" i="6"/>
  <c r="M31" i="6"/>
  <c r="Y31" i="6"/>
  <c r="AC31" i="6"/>
  <c r="AE31" i="6"/>
  <c r="AG31" i="6"/>
  <c r="AK31" i="6"/>
  <c r="AS31" i="6"/>
  <c r="AU31" i="6"/>
  <c r="AW31" i="6"/>
  <c r="BO31" i="6"/>
  <c r="BQ31" i="6"/>
  <c r="BS31" i="6"/>
  <c r="BU31" i="6"/>
  <c r="BW31" i="6"/>
  <c r="BY31" i="6"/>
  <c r="CA31" i="6"/>
  <c r="AZ32" i="6"/>
  <c r="BA32" i="6"/>
  <c r="BC32" i="6"/>
  <c r="AQ32" i="6"/>
  <c r="BF32" i="6"/>
  <c r="BG32" i="6"/>
  <c r="BK32" i="6"/>
  <c r="BE32" i="6"/>
  <c r="G32" i="6"/>
  <c r="K32" i="6"/>
  <c r="M32" i="6"/>
  <c r="Y32" i="6"/>
  <c r="AC32" i="6"/>
  <c r="AE32" i="6"/>
  <c r="AG32" i="6"/>
  <c r="AK32" i="6"/>
  <c r="AS32" i="6"/>
  <c r="AU32" i="6"/>
  <c r="AW32" i="6"/>
  <c r="BO32" i="6"/>
  <c r="BQ32" i="6"/>
  <c r="BS32" i="6"/>
  <c r="BU32" i="6"/>
  <c r="BW32" i="6"/>
  <c r="BY32" i="6"/>
  <c r="CA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J31" i="5"/>
  <c r="X28" i="5"/>
  <c r="AF31" i="5"/>
  <c r="F28" i="5"/>
  <c r="N31" i="5"/>
  <c r="T28" i="5"/>
  <c r="AB31" i="5"/>
  <c r="AJ28" i="5"/>
  <c r="J32" i="5"/>
  <c r="R32" i="5"/>
  <c r="X32" i="5"/>
  <c r="Z32" i="5"/>
  <c r="AF32" i="5"/>
  <c r="F32" i="5"/>
  <c r="N32" i="5"/>
  <c r="T32" i="5"/>
  <c r="G28" i="5"/>
  <c r="I28" i="5"/>
  <c r="K28" i="5"/>
  <c r="M28" i="5"/>
  <c r="O28" i="5"/>
  <c r="Q28" i="5"/>
  <c r="S28" i="5"/>
  <c r="U28" i="5"/>
  <c r="W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K8" i="4"/>
  <c r="J8" i="4"/>
  <c r="BY26" i="4"/>
  <c r="BM26" i="4"/>
  <c r="Y26" i="4"/>
  <c r="AK26" i="4"/>
  <c r="AS26" i="4"/>
  <c r="AI36" i="3" s="1"/>
  <c r="AW26" i="4"/>
  <c r="BK26" i="4"/>
  <c r="AS36" i="3" s="1"/>
  <c r="BO26" i="4"/>
  <c r="BW26" i="4"/>
  <c r="CA26" i="4"/>
  <c r="CC26" i="4"/>
  <c r="BE36" i="3" s="1"/>
  <c r="CE26" i="4"/>
  <c r="CG26" i="4"/>
  <c r="CU26" i="4"/>
  <c r="BK36" i="3" s="1"/>
  <c r="CY26" i="4"/>
  <c r="J26" i="3"/>
  <c r="T26" i="3"/>
  <c r="AR26" i="3"/>
  <c r="D26" i="3"/>
  <c r="P26" i="3"/>
  <c r="X26" i="3"/>
  <c r="E26" i="3"/>
  <c r="I26" i="3"/>
  <c r="I43" i="3" s="1"/>
  <c r="M26" i="3"/>
  <c r="M43" i="3" s="1"/>
  <c r="Q26" i="3"/>
  <c r="S26" i="3"/>
  <c r="U26" i="3"/>
  <c r="W26" i="3"/>
  <c r="Y26" i="3"/>
  <c r="AE26" i="3"/>
  <c r="AF26" i="3"/>
  <c r="AG26" i="3"/>
  <c r="AI26" i="3"/>
  <c r="AS26" i="3"/>
  <c r="AU26" i="3"/>
  <c r="AU43" i="3" s="1"/>
  <c r="BE26" i="3"/>
  <c r="BI26" i="3"/>
  <c r="BJ26" i="3"/>
  <c r="BK26" i="3"/>
  <c r="D30" i="3"/>
  <c r="AH30" i="3"/>
  <c r="AT30" i="3"/>
  <c r="AT44" i="3" s="1"/>
  <c r="E30" i="3"/>
  <c r="I30" i="3"/>
  <c r="I44" i="3" s="1"/>
  <c r="K30" i="3"/>
  <c r="M30" i="3"/>
  <c r="M44" i="3" s="1"/>
  <c r="Q30" i="3"/>
  <c r="S30" i="3"/>
  <c r="U30" i="3"/>
  <c r="W30" i="3"/>
  <c r="Y30" i="3"/>
  <c r="AA30" i="3"/>
  <c r="AE30" i="3"/>
  <c r="AG30" i="3"/>
  <c r="AI30" i="3"/>
  <c r="AM30" i="3"/>
  <c r="AO30" i="3"/>
  <c r="AS30" i="3"/>
  <c r="AS33" i="3" s="1"/>
  <c r="AU30" i="3"/>
  <c r="AU44" i="3" s="1"/>
  <c r="BE30" i="3"/>
  <c r="BI30" i="3"/>
  <c r="BH11" i="1"/>
  <c r="AD12" i="1"/>
  <c r="BH12" i="1"/>
  <c r="AD13" i="1"/>
  <c r="BH13" i="1"/>
  <c r="BH14" i="1"/>
  <c r="BH15" i="1"/>
  <c r="AD16" i="1"/>
  <c r="BL16" i="1" s="1"/>
  <c r="BH16" i="1"/>
  <c r="BH17" i="1"/>
  <c r="BH18" i="1"/>
  <c r="BH19" i="1"/>
  <c r="BH20" i="1"/>
  <c r="BH21" i="1"/>
  <c r="AD22" i="1"/>
  <c r="BL22" i="1" s="1"/>
  <c r="BH22" i="1"/>
  <c r="BH23" i="1"/>
  <c r="AD24" i="1"/>
  <c r="BL24" i="1" s="1"/>
  <c r="BH24" i="1"/>
  <c r="BH25" i="1"/>
  <c r="AD26" i="1"/>
  <c r="BH26" i="1"/>
  <c r="AD27" i="1"/>
  <c r="BL27" i="1" s="1"/>
  <c r="BH27" i="1"/>
  <c r="AD28" i="1"/>
  <c r="BL28" i="1" s="1"/>
  <c r="BH28" i="1"/>
  <c r="X11" i="6"/>
  <c r="L11" i="6"/>
  <c r="AT11" i="6"/>
  <c r="Q12" i="1"/>
  <c r="BV12" i="6"/>
  <c r="BX12" i="6"/>
  <c r="L13" i="6"/>
  <c r="AB13" i="6"/>
  <c r="AJ13" i="6"/>
  <c r="AR13" i="6"/>
  <c r="BP13" i="6"/>
  <c r="BR13" i="6"/>
  <c r="BZ13" i="6"/>
  <c r="L14" i="6"/>
  <c r="AR14" i="6"/>
  <c r="AV14" i="6"/>
  <c r="BP14" i="6"/>
  <c r="BX14" i="6"/>
  <c r="BZ14" i="6"/>
  <c r="L15" i="6"/>
  <c r="AJ15" i="6"/>
  <c r="BX15" i="6"/>
  <c r="AD16" i="6"/>
  <c r="AR16" i="6"/>
  <c r="X17" i="6"/>
  <c r="L17" i="6"/>
  <c r="AJ17" i="6"/>
  <c r="AR17" i="6"/>
  <c r="BT17" i="6"/>
  <c r="L18" i="6"/>
  <c r="AJ18" i="6"/>
  <c r="BR18" i="6"/>
  <c r="BX18" i="6"/>
  <c r="BZ18" i="6"/>
  <c r="BN19" i="6"/>
  <c r="BP19" i="6"/>
  <c r="BV19" i="6"/>
  <c r="BX19" i="6"/>
  <c r="L20" i="6"/>
  <c r="AJ20" i="6"/>
  <c r="AR20" i="6"/>
  <c r="Q20" i="1"/>
  <c r="BT20" i="6"/>
  <c r="L21" i="6"/>
  <c r="AJ21" i="6"/>
  <c r="AR21" i="6"/>
  <c r="BR21" i="6"/>
  <c r="BX21" i="6"/>
  <c r="L22" i="6"/>
  <c r="AR22" i="6"/>
  <c r="Q22" i="1"/>
  <c r="BT22" i="6"/>
  <c r="BV22" i="6"/>
  <c r="AJ23" i="6"/>
  <c r="AR23" i="6"/>
  <c r="Q23" i="1"/>
  <c r="BT23" i="6"/>
  <c r="BZ23" i="6"/>
  <c r="L24" i="6"/>
  <c r="AJ24" i="6"/>
  <c r="AR24" i="6"/>
  <c r="BR24" i="6"/>
  <c r="BX24" i="6"/>
  <c r="L25" i="6"/>
  <c r="AJ25" i="6"/>
  <c r="AR25" i="6"/>
  <c r="BR25" i="6"/>
  <c r="BT25" i="6"/>
  <c r="L26" i="6"/>
  <c r="AB26" i="6"/>
  <c r="AR26" i="6"/>
  <c r="Q26" i="1"/>
  <c r="BT26" i="6"/>
  <c r="BV26" i="6"/>
  <c r="BZ26" i="6"/>
  <c r="L27" i="6"/>
  <c r="AD27" i="6"/>
  <c r="AR27" i="6"/>
  <c r="AV27" i="6"/>
  <c r="BR27" i="6"/>
  <c r="BZ27" i="6"/>
  <c r="L28" i="6"/>
  <c r="AD28" i="6"/>
  <c r="AR28" i="6"/>
  <c r="BT28" i="6"/>
  <c r="BZ28" i="6"/>
  <c r="L31" i="6"/>
  <c r="AR31" i="6"/>
  <c r="BV31" i="6"/>
  <c r="BZ31" i="6"/>
  <c r="L32" i="6"/>
  <c r="AF32" i="6"/>
  <c r="AJ32" i="6"/>
  <c r="AR32" i="6"/>
  <c r="BP32" i="6"/>
  <c r="BZ32" i="6"/>
  <c r="A3" i="9"/>
  <c r="K12" i="2"/>
  <c r="S12" i="2"/>
  <c r="W12" i="2"/>
  <c r="AB12" i="2"/>
  <c r="AS11" i="1" s="1"/>
  <c r="AZ11" i="6"/>
  <c r="BB11" i="6"/>
  <c r="AP11" i="6"/>
  <c r="BP12" i="2"/>
  <c r="BQ12" i="2"/>
  <c r="BQ30" i="2" s="1"/>
  <c r="BS12" i="2"/>
  <c r="BS30" i="2" s="1"/>
  <c r="QM12" i="2"/>
  <c r="QN12" i="2"/>
  <c r="QN30" i="2" s="1"/>
  <c r="BM12" i="2"/>
  <c r="QD12" i="2"/>
  <c r="CI30" i="2"/>
  <c r="DD30" i="2"/>
  <c r="DJ12" i="2"/>
  <c r="DJ30" i="2" s="1"/>
  <c r="DR30" i="2"/>
  <c r="J11" i="6"/>
  <c r="FX12" i="2"/>
  <c r="AS12" i="1"/>
  <c r="AZ12" i="6"/>
  <c r="BB12" i="6"/>
  <c r="AP12" i="6"/>
  <c r="J12" i="6"/>
  <c r="AZ13" i="6"/>
  <c r="AP13" i="6"/>
  <c r="BF13" i="6"/>
  <c r="J13" i="6"/>
  <c r="AS14" i="1"/>
  <c r="BB14" i="6"/>
  <c r="BD14" i="6"/>
  <c r="J14" i="6"/>
  <c r="AS15" i="1"/>
  <c r="BB15" i="6"/>
  <c r="AP15" i="6"/>
  <c r="BD15" i="6"/>
  <c r="BF15" i="6"/>
  <c r="AS16" i="1"/>
  <c r="AZ16" i="6"/>
  <c r="BB16" i="6"/>
  <c r="AP16" i="6"/>
  <c r="BF16" i="6"/>
  <c r="F16" i="6"/>
  <c r="J16" i="6"/>
  <c r="AS17" i="1"/>
  <c r="BB17" i="6"/>
  <c r="AP17" i="6"/>
  <c r="BF17" i="6"/>
  <c r="QX30" i="2"/>
  <c r="J17" i="6"/>
  <c r="AS18" i="1"/>
  <c r="AZ18" i="6"/>
  <c r="BB18" i="6"/>
  <c r="AP18" i="6"/>
  <c r="PH30" i="2"/>
  <c r="BF18" i="6"/>
  <c r="AS19" i="1"/>
  <c r="AZ19" i="6"/>
  <c r="BB19" i="6"/>
  <c r="AP19" i="6"/>
  <c r="J19" i="6"/>
  <c r="AZ20" i="6"/>
  <c r="BB20" i="6"/>
  <c r="AP20" i="6"/>
  <c r="BF20" i="6"/>
  <c r="F20" i="6"/>
  <c r="J20" i="6"/>
  <c r="AS21" i="1"/>
  <c r="AZ21" i="6"/>
  <c r="BB21" i="6"/>
  <c r="AP21" i="6"/>
  <c r="BF21" i="6"/>
  <c r="BB22" i="6"/>
  <c r="AP22" i="6"/>
  <c r="J22" i="6"/>
  <c r="AZ23" i="6"/>
  <c r="BB23" i="6"/>
  <c r="AP23" i="6"/>
  <c r="BD23" i="6"/>
  <c r="J23" i="6"/>
  <c r="AZ24" i="6"/>
  <c r="BB24" i="6"/>
  <c r="AP24" i="6"/>
  <c r="BF24" i="6"/>
  <c r="F24" i="6"/>
  <c r="J24" i="6"/>
  <c r="AS25" i="1"/>
  <c r="AZ25" i="6"/>
  <c r="BB25" i="6"/>
  <c r="AP25" i="6"/>
  <c r="AZ26" i="6"/>
  <c r="BB26" i="6"/>
  <c r="AP26" i="6"/>
  <c r="J26" i="6"/>
  <c r="AZ27" i="6"/>
  <c r="AP27" i="6"/>
  <c r="BD27" i="6"/>
  <c r="J27" i="6"/>
  <c r="AS28" i="1"/>
  <c r="AZ28" i="6"/>
  <c r="BB28" i="6"/>
  <c r="AP28" i="6"/>
  <c r="F28" i="6"/>
  <c r="G30" i="2"/>
  <c r="H66" i="1" s="1"/>
  <c r="I30" i="2"/>
  <c r="M30" i="2"/>
  <c r="O30" i="2"/>
  <c r="H67" i="1" s="1"/>
  <c r="Q30" i="2"/>
  <c r="U30" i="2"/>
  <c r="J67" i="1" s="1"/>
  <c r="X30" i="2"/>
  <c r="Y30" i="2"/>
  <c r="Z30" i="2"/>
  <c r="AC30" i="2"/>
  <c r="AD30" i="2"/>
  <c r="AH30" i="2"/>
  <c r="AR30" i="2"/>
  <c r="AR54" i="2" s="1"/>
  <c r="NY30" i="2"/>
  <c r="NY54" i="2" s="1"/>
  <c r="NZ30" i="2"/>
  <c r="NZ54" i="2" s="1"/>
  <c r="AS30" i="2"/>
  <c r="PA30" i="2"/>
  <c r="PA54" i="2" s="1"/>
  <c r="PB30" i="2"/>
  <c r="PB54" i="2" s="1"/>
  <c r="AU30" i="2"/>
  <c r="AU54" i="2" s="1"/>
  <c r="PE30" i="2"/>
  <c r="PE54" i="2" s="1"/>
  <c r="PF30" i="2"/>
  <c r="PF54" i="2" s="1"/>
  <c r="PC30" i="2"/>
  <c r="PC54" i="2" s="1"/>
  <c r="PD30" i="2"/>
  <c r="PD54" i="2" s="1"/>
  <c r="BD30" i="2"/>
  <c r="BE30" i="2"/>
  <c r="PQ30" i="2"/>
  <c r="PR30" i="2"/>
  <c r="BG30" i="2"/>
  <c r="PW30" i="2"/>
  <c r="PX30" i="2"/>
  <c r="PU30" i="2"/>
  <c r="PV30" i="2"/>
  <c r="CB30" i="2"/>
  <c r="CC30" i="2"/>
  <c r="RA30" i="2"/>
  <c r="RB30" i="2"/>
  <c r="CE30" i="2"/>
  <c r="RG30" i="2"/>
  <c r="RH30" i="2"/>
  <c r="RE30" i="2"/>
  <c r="RF30" i="2"/>
  <c r="CM30" i="2"/>
  <c r="CL54" i="2" s="1"/>
  <c r="CN30" i="2"/>
  <c r="CW30" i="2"/>
  <c r="CX30" i="2"/>
  <c r="DF30" i="2"/>
  <c r="DF54" i="2" s="1"/>
  <c r="DH30" i="2"/>
  <c r="DL30" i="2"/>
  <c r="DN30" i="2"/>
  <c r="DN54" i="2" s="1"/>
  <c r="DP30" i="2"/>
  <c r="DT30" i="2"/>
  <c r="EG30" i="2"/>
  <c r="EH30" i="2"/>
  <c r="EI30" i="2"/>
  <c r="EJ30" i="2"/>
  <c r="FY30" i="2"/>
  <c r="FZ30" i="2"/>
  <c r="K34" i="2"/>
  <c r="W32" i="2"/>
  <c r="AA34" i="2"/>
  <c r="NV34" i="2"/>
  <c r="NV55" i="2" s="1"/>
  <c r="AP31" i="6"/>
  <c r="OT34" i="2"/>
  <c r="OT55" i="2" s="1"/>
  <c r="OX34" i="2"/>
  <c r="OX55" i="2" s="1"/>
  <c r="BJ31" i="6"/>
  <c r="DG34" i="2"/>
  <c r="DJ34" i="2"/>
  <c r="DR34" i="2"/>
  <c r="DZ34" i="2"/>
  <c r="EA34" i="2"/>
  <c r="L34" i="2"/>
  <c r="S33" i="2"/>
  <c r="S34" i="2" s="1"/>
  <c r="W33" i="2"/>
  <c r="BB32" i="6"/>
  <c r="BJ32" i="6"/>
  <c r="BD32" i="6"/>
  <c r="BP34" i="2"/>
  <c r="DA34" i="2"/>
  <c r="DM34" i="2"/>
  <c r="DM55" i="2" s="1"/>
  <c r="EB34" i="2"/>
  <c r="G34" i="2"/>
  <c r="E66" i="1" s="1"/>
  <c r="I34" i="2"/>
  <c r="M34" i="2"/>
  <c r="O34" i="2"/>
  <c r="E67" i="1" s="1"/>
  <c r="Q34" i="2"/>
  <c r="U34" i="2"/>
  <c r="X34" i="2"/>
  <c r="Y34" i="2"/>
  <c r="Z34" i="2"/>
  <c r="AC34" i="2"/>
  <c r="AD34" i="2"/>
  <c r="AH34" i="2"/>
  <c r="AR34" i="2"/>
  <c r="AR55" i="2" s="1"/>
  <c r="NY34" i="2"/>
  <c r="NZ34" i="2"/>
  <c r="NZ55" i="2" s="1"/>
  <c r="AS34" i="2"/>
  <c r="PA34" i="2"/>
  <c r="PA55" i="2" s="1"/>
  <c r="PB34" i="2"/>
  <c r="PB55" i="2" s="1"/>
  <c r="AU34" i="2"/>
  <c r="AU55" i="2" s="1"/>
  <c r="PE34" i="2"/>
  <c r="PE55" i="2" s="1"/>
  <c r="PF34" i="2"/>
  <c r="PF55" i="2" s="1"/>
  <c r="PC34" i="2"/>
  <c r="PC55" i="2" s="1"/>
  <c r="PD34" i="2"/>
  <c r="PD55" i="2" s="1"/>
  <c r="AX34" i="2"/>
  <c r="AY34" i="2"/>
  <c r="PH34" i="2"/>
  <c r="PI34" i="2"/>
  <c r="PN34" i="2"/>
  <c r="PO34" i="2"/>
  <c r="PL34" i="2"/>
  <c r="PM34" i="2"/>
  <c r="BD34" i="2"/>
  <c r="BE34" i="2"/>
  <c r="PQ34" i="2"/>
  <c r="PR34" i="2"/>
  <c r="BG34" i="2"/>
  <c r="PW34" i="2"/>
  <c r="PX34" i="2"/>
  <c r="PU34" i="2"/>
  <c r="PV34" i="2"/>
  <c r="OG34" i="2"/>
  <c r="BJ34" i="2"/>
  <c r="BK34" i="2"/>
  <c r="BM34" i="2"/>
  <c r="QD34" i="2"/>
  <c r="QE34" i="2"/>
  <c r="BQ34" i="2"/>
  <c r="BS34" i="2"/>
  <c r="QM34" i="2"/>
  <c r="QN34" i="2"/>
  <c r="BV34" i="2"/>
  <c r="BW34" i="2"/>
  <c r="QR34" i="2"/>
  <c r="QS34" i="2"/>
  <c r="BY34" i="2"/>
  <c r="QX34" i="2"/>
  <c r="QY34" i="2"/>
  <c r="QV34" i="2"/>
  <c r="QW34" i="2"/>
  <c r="CB34" i="2"/>
  <c r="CC34" i="2"/>
  <c r="RA34" i="2"/>
  <c r="RB34" i="2"/>
  <c r="CE34" i="2"/>
  <c r="RG34" i="2"/>
  <c r="RH34" i="2"/>
  <c r="RE34" i="2"/>
  <c r="RF34" i="2"/>
  <c r="CM34" i="2"/>
  <c r="CL55" i="2" s="1"/>
  <c r="CN34" i="2"/>
  <c r="CR34" i="2"/>
  <c r="CS34" i="2"/>
  <c r="CW34" i="2"/>
  <c r="CX34" i="2"/>
  <c r="DC34" i="2"/>
  <c r="DD34" i="2"/>
  <c r="DF34" i="2"/>
  <c r="DF55" i="2" s="1"/>
  <c r="DH34" i="2"/>
  <c r="DL34" i="2"/>
  <c r="DN34" i="2"/>
  <c r="DP34" i="2"/>
  <c r="DT34" i="2"/>
  <c r="EG34" i="2"/>
  <c r="EH34" i="2"/>
  <c r="EI34" i="2"/>
  <c r="EJ34" i="2"/>
  <c r="FX34" i="2"/>
  <c r="FX55" i="2" s="1"/>
  <c r="FY34" i="2"/>
  <c r="FZ34" i="2"/>
  <c r="AF20" i="6"/>
  <c r="BN28" i="6"/>
  <c r="Q28" i="1"/>
  <c r="AF25" i="6"/>
  <c r="E3" i="1"/>
  <c r="Q21" i="1"/>
  <c r="Q17" i="1"/>
  <c r="BN17" i="6"/>
  <c r="BN18" i="6"/>
  <c r="BD17" i="6"/>
  <c r="AD20" i="1"/>
  <c r="BL20" i="1" s="1"/>
  <c r="AD18" i="1"/>
  <c r="AD14" i="1"/>
  <c r="BL14" i="1" s="1"/>
  <c r="BN15" i="6"/>
  <c r="AD25" i="1"/>
  <c r="BL25" i="1" s="1"/>
  <c r="AD23" i="1"/>
  <c r="BL23" i="1" s="1"/>
  <c r="AD21" i="1"/>
  <c r="Q13" i="1"/>
  <c r="BJ28" i="6"/>
  <c r="BJ26" i="6"/>
  <c r="BF26" i="6"/>
  <c r="H400" i="8"/>
  <c r="D135" i="8"/>
  <c r="D136" i="8" s="1"/>
  <c r="J214" i="8"/>
  <c r="D39" i="8"/>
  <c r="D35" i="8" s="1"/>
  <c r="H329" i="8"/>
  <c r="D384" i="8"/>
  <c r="D385" i="8" s="1"/>
  <c r="J389" i="8"/>
  <c r="J377" i="8"/>
  <c r="D390" i="8"/>
  <c r="D391" i="8" s="1"/>
  <c r="D378" i="8"/>
  <c r="D379" i="8" s="1"/>
  <c r="D375" i="8"/>
  <c r="D376" i="8" s="1"/>
  <c r="J301" i="8"/>
  <c r="J38" i="8"/>
  <c r="AT16" i="6"/>
  <c r="AT26" i="3"/>
  <c r="AT43" i="3" s="1"/>
  <c r="AR30" i="3"/>
  <c r="AV31" i="6"/>
  <c r="BZ20" i="6"/>
  <c r="AT14" i="6"/>
  <c r="AP14" i="6"/>
  <c r="BB13" i="6"/>
  <c r="BF11" i="6"/>
  <c r="BP17" i="6"/>
  <c r="L23" i="6"/>
  <c r="AR19" i="6"/>
  <c r="QE12" i="2"/>
  <c r="BF12" i="6"/>
  <c r="BZ15" i="6"/>
  <c r="H26" i="3"/>
  <c r="H43" i="3" s="1"/>
  <c r="Z28" i="5"/>
  <c r="T31" i="5"/>
  <c r="J32" i="6"/>
  <c r="D8" i="9"/>
  <c r="BR23" i="6"/>
  <c r="BP26" i="6"/>
  <c r="AR15" i="6"/>
  <c r="AJ14" i="6"/>
  <c r="BP27" i="6"/>
  <c r="AB25" i="6"/>
  <c r="AJ19" i="6"/>
  <c r="BZ12" i="6"/>
  <c r="BZ11" i="6"/>
  <c r="AT15" i="6"/>
  <c r="AF13" i="6"/>
  <c r="J28" i="6"/>
  <c r="BB27" i="6"/>
  <c r="BP31" i="6"/>
  <c r="AF31" i="6"/>
  <c r="AB31" i="6"/>
  <c r="BX22" i="6"/>
  <c r="BP22" i="6"/>
  <c r="BT18" i="6"/>
  <c r="DS34" i="2"/>
  <c r="J18" i="6"/>
  <c r="AV32" i="6"/>
  <c r="AJ22" i="6"/>
  <c r="BN14" i="6"/>
  <c r="Q14" i="1"/>
  <c r="AD11" i="1"/>
  <c r="AB15" i="6"/>
  <c r="AB28" i="5"/>
  <c r="V26" i="3"/>
  <c r="Z31" i="5"/>
  <c r="AT19" i="6"/>
  <c r="AJ16" i="6"/>
  <c r="AF27" i="6"/>
  <c r="AD14" i="6"/>
  <c r="AB24" i="6"/>
  <c r="AJ24" i="1"/>
  <c r="AJ25" i="1"/>
  <c r="AJ18" i="1"/>
  <c r="AD21" i="6"/>
  <c r="AV12" i="6"/>
  <c r="AF28" i="6"/>
  <c r="AD32" i="6"/>
  <c r="AT18" i="6"/>
  <c r="AD17" i="6"/>
  <c r="X13" i="6"/>
  <c r="Q16" i="1"/>
  <c r="BN16" i="6"/>
  <c r="AJ11" i="1"/>
  <c r="AJ11" i="6"/>
  <c r="AD26" i="6"/>
  <c r="AB16" i="6"/>
  <c r="AF15" i="6"/>
  <c r="BP28" i="6"/>
  <c r="AB28" i="6"/>
  <c r="BN23" i="6"/>
  <c r="BN22" i="6"/>
  <c r="Q19" i="1"/>
  <c r="AV19" i="6"/>
  <c r="L19" i="6"/>
  <c r="X27" i="6"/>
  <c r="AT26" i="6"/>
  <c r="Q24" i="1"/>
  <c r="BN24" i="6"/>
  <c r="BZ21" i="6"/>
  <c r="AF22" i="6"/>
  <c r="BZ19" i="6"/>
  <c r="X24" i="6"/>
  <c r="AV26" i="6"/>
  <c r="AB19" i="6"/>
  <c r="L12" i="6"/>
  <c r="X23" i="6"/>
  <c r="AV21" i="6"/>
  <c r="AP34" i="2"/>
  <c r="AP55" i="2" s="1"/>
  <c r="AR18" i="6"/>
  <c r="AR11" i="6"/>
  <c r="AJ31" i="1"/>
  <c r="DV34" i="2"/>
  <c r="F22" i="6"/>
  <c r="F11" i="6"/>
  <c r="F25" i="6"/>
  <c r="BD21" i="6"/>
  <c r="BH30" i="3"/>
  <c r="AN30" i="3"/>
  <c r="J30" i="3"/>
  <c r="L26" i="3"/>
  <c r="L43" i="3" s="1"/>
  <c r="AH28" i="5"/>
  <c r="BF23" i="6"/>
  <c r="AJ32" i="5"/>
  <c r="X31" i="5"/>
  <c r="N28" i="5"/>
  <c r="BB34" i="2"/>
  <c r="AJ27" i="6"/>
  <c r="BN26" i="6"/>
  <c r="AJ26" i="6"/>
  <c r="AF26" i="6"/>
  <c r="Q25" i="1"/>
  <c r="AT22" i="6"/>
  <c r="BR17" i="6"/>
  <c r="AR12" i="6"/>
  <c r="Q11" i="1"/>
  <c r="BD30" i="3"/>
  <c r="AV18" i="6"/>
  <c r="BV25" i="6"/>
  <c r="BN25" i="6"/>
  <c r="AJ28" i="6"/>
  <c r="Q27" i="1"/>
  <c r="BN27" i="6"/>
  <c r="BZ16" i="6"/>
  <c r="AG34" i="2"/>
  <c r="BF19" i="6"/>
  <c r="BN32" i="6"/>
  <c r="BR22" i="6"/>
  <c r="P30" i="3"/>
  <c r="BV32" i="6"/>
  <c r="BT31" i="6"/>
  <c r="BV27" i="6"/>
  <c r="BP24" i="6"/>
  <c r="BV23" i="6"/>
  <c r="BV21" i="6"/>
  <c r="BR19" i="6"/>
  <c r="BX16" i="6"/>
  <c r="BP16" i="6"/>
  <c r="BV15" i="6"/>
  <c r="BV14" i="6"/>
  <c r="BV13" i="6"/>
  <c r="BN13" i="6"/>
  <c r="BR12" i="6"/>
  <c r="BV11" i="6"/>
  <c r="BN11" i="6"/>
  <c r="AF30" i="3"/>
  <c r="BX27" i="6"/>
  <c r="BX26" i="6"/>
  <c r="BX25" i="6"/>
  <c r="BP25" i="6"/>
  <c r="BX23" i="6"/>
  <c r="BV20" i="6"/>
  <c r="BP20" i="6"/>
  <c r="BT19" i="6"/>
  <c r="BV18" i="6"/>
  <c r="Q18" i="1"/>
  <c r="BV17" i="6"/>
  <c r="Q15" i="1"/>
  <c r="BX13" i="6"/>
  <c r="BT12" i="6"/>
  <c r="BX11" i="6"/>
  <c r="BP11" i="6"/>
  <c r="BJ12" i="2"/>
  <c r="AF24" i="6"/>
  <c r="BP23" i="6"/>
  <c r="AD23" i="6"/>
  <c r="BR15" i="6"/>
  <c r="BX31" i="6"/>
  <c r="BV28" i="6"/>
  <c r="BR26" i="6"/>
  <c r="BT24" i="6"/>
  <c r="BX20" i="6"/>
  <c r="BP18" i="6"/>
  <c r="BX17" i="6"/>
  <c r="BT16" i="6"/>
  <c r="BR14" i="6"/>
  <c r="BR11" i="6"/>
  <c r="F26" i="6"/>
  <c r="BD25" i="6"/>
  <c r="BD20" i="6"/>
  <c r="BT32" i="6"/>
  <c r="BX28" i="6"/>
  <c r="BT27" i="6"/>
  <c r="BV24" i="6"/>
  <c r="BT21" i="6"/>
  <c r="BN21" i="6"/>
  <c r="BV16" i="6"/>
  <c r="BT14" i="6"/>
  <c r="BT11" i="6"/>
  <c r="BT15" i="6"/>
  <c r="F32" i="6"/>
  <c r="T30" i="3"/>
  <c r="F18" i="6"/>
  <c r="L30" i="3"/>
  <c r="L44" i="3" s="1"/>
  <c r="CR30" i="2"/>
  <c r="AD18" i="6"/>
  <c r="J25" i="6"/>
  <c r="BF14" i="6"/>
  <c r="V30" i="3"/>
  <c r="J21" i="6"/>
  <c r="AL34" i="2"/>
  <c r="AL55" i="2" s="1"/>
  <c r="F19" i="6"/>
  <c r="P31" i="5"/>
  <c r="D9" i="8" l="1"/>
  <c r="D485" i="8"/>
  <c r="D10" i="8"/>
  <c r="E31" i="6"/>
  <c r="E27" i="6"/>
  <c r="E23" i="6"/>
  <c r="E12" i="6"/>
  <c r="E26" i="6"/>
  <c r="E22" i="6"/>
  <c r="E14" i="6"/>
  <c r="E11" i="6"/>
  <c r="E32" i="6"/>
  <c r="E25" i="6"/>
  <c r="E21" i="6"/>
  <c r="E17" i="6"/>
  <c r="E28" i="6"/>
  <c r="E24" i="6"/>
  <c r="E20" i="6"/>
  <c r="E16" i="6"/>
  <c r="D175" i="8"/>
  <c r="D176" i="8" s="1"/>
  <c r="C21" i="16"/>
  <c r="D253" i="8"/>
  <c r="G254" i="8"/>
  <c r="C20" i="16"/>
  <c r="C11" i="16"/>
  <c r="D482" i="8"/>
  <c r="G3" i="6"/>
  <c r="A3" i="7" s="1"/>
  <c r="J3" i="18"/>
  <c r="B43" i="3"/>
  <c r="C44" i="3"/>
  <c r="C43" i="3"/>
  <c r="AI33" i="3"/>
  <c r="AI38" i="3" s="1"/>
  <c r="F454" i="8" s="1"/>
  <c r="C19" i="16"/>
  <c r="C14" i="16"/>
  <c r="C17" i="16"/>
  <c r="D382" i="8"/>
  <c r="BC36" i="3"/>
  <c r="BC38" i="3" s="1"/>
  <c r="I232" i="8"/>
  <c r="AG33" i="3"/>
  <c r="AQ55" i="2"/>
  <c r="AQ54" i="2"/>
  <c r="NX54" i="2"/>
  <c r="BL33" i="1"/>
  <c r="BK33" i="1"/>
  <c r="D110" i="8"/>
  <c r="BP30" i="2"/>
  <c r="BO12" i="2"/>
  <c r="BO30" i="2" s="1"/>
  <c r="BO37" i="2" s="1"/>
  <c r="PY12" i="2"/>
  <c r="PG12" i="2"/>
  <c r="QM30" i="2"/>
  <c r="QM37" i="2" s="1"/>
  <c r="PU59" i="2" s="1"/>
  <c r="QH12" i="2"/>
  <c r="QH30" i="2" s="1"/>
  <c r="QH37" i="2" s="1"/>
  <c r="D139" i="8"/>
  <c r="I21" i="11"/>
  <c r="D370" i="8"/>
  <c r="D279" i="8"/>
  <c r="D361" i="8"/>
  <c r="D347" i="8"/>
  <c r="D448" i="8"/>
  <c r="D401" i="8"/>
  <c r="OZ54" i="2"/>
  <c r="OZ55" i="2"/>
  <c r="PP59" i="2"/>
  <c r="PP55" i="2"/>
  <c r="PG59" i="2"/>
  <c r="D161" i="8"/>
  <c r="G160" i="8"/>
  <c r="I160" i="8" s="1"/>
  <c r="D461" i="8"/>
  <c r="I400" i="8"/>
  <c r="LQ38" i="2"/>
  <c r="LQ42" i="2" s="1"/>
  <c r="I164" i="8"/>
  <c r="D338" i="8"/>
  <c r="D334" i="8" s="1"/>
  <c r="D333" i="8"/>
  <c r="PQ37" i="2"/>
  <c r="PQ42" i="2" s="1"/>
  <c r="BD37" i="2"/>
  <c r="RE37" i="2"/>
  <c r="PU60" i="2" s="1"/>
  <c r="CE37" i="2"/>
  <c r="BG60" i="2" s="1"/>
  <c r="EG37" i="2"/>
  <c r="AS37" i="2"/>
  <c r="AC37" i="2"/>
  <c r="D285" i="8"/>
  <c r="D55" i="8"/>
  <c r="D388" i="8"/>
  <c r="H452" i="8"/>
  <c r="H344" i="8"/>
  <c r="D449" i="8"/>
  <c r="E514" i="8"/>
  <c r="D8" i="16" s="1"/>
  <c r="D43" i="8"/>
  <c r="G318" i="8"/>
  <c r="I318" i="8" s="1"/>
  <c r="G405" i="8"/>
  <c r="I405" i="8" s="1"/>
  <c r="D240" i="8"/>
  <c r="PA37" i="2"/>
  <c r="H318" i="8"/>
  <c r="D246" i="8"/>
  <c r="D294" i="8"/>
  <c r="G344" i="8"/>
  <c r="I344" i="8" s="1"/>
  <c r="BW33" i="6"/>
  <c r="I188" i="8"/>
  <c r="CN37" i="2"/>
  <c r="FY37" i="2"/>
  <c r="D90" i="8"/>
  <c r="D76" i="8" s="1"/>
  <c r="D60" i="8"/>
  <c r="D56" i="8" s="1"/>
  <c r="RG37" i="2"/>
  <c r="PW60" i="2" s="1"/>
  <c r="CB37" i="2"/>
  <c r="BD60" i="2" s="1"/>
  <c r="D115" i="8"/>
  <c r="D111" i="8" s="1"/>
  <c r="G13" i="8"/>
  <c r="I13" i="8" s="1"/>
  <c r="DF37" i="2"/>
  <c r="PE37" i="2"/>
  <c r="PE53" i="2" s="1"/>
  <c r="NY37" i="2"/>
  <c r="NY55" i="2"/>
  <c r="NX55" i="2" s="1"/>
  <c r="G2" i="4"/>
  <c r="DN37" i="2"/>
  <c r="DN55" i="2"/>
  <c r="D514" i="8"/>
  <c r="C8" i="16" s="1"/>
  <c r="G512" i="8"/>
  <c r="I512" i="8" s="1"/>
  <c r="D434" i="8"/>
  <c r="D418" i="8" s="1"/>
  <c r="F514" i="8"/>
  <c r="E8" i="16" s="1"/>
  <c r="E513" i="8"/>
  <c r="F513" i="8"/>
  <c r="Q33" i="3"/>
  <c r="BI33" i="3"/>
  <c r="O37" i="2"/>
  <c r="AF33" i="3"/>
  <c r="M33" i="3"/>
  <c r="M38" i="3" s="1"/>
  <c r="F325" i="8" s="1"/>
  <c r="PX37" i="2"/>
  <c r="PR37" i="2"/>
  <c r="PR42" i="2" s="1"/>
  <c r="BE37" i="2"/>
  <c r="PF37" i="2"/>
  <c r="PF53" i="2" s="1"/>
  <c r="PB37" i="2"/>
  <c r="PB53" i="2" s="1"/>
  <c r="F130" i="8"/>
  <c r="E13" i="16" s="1"/>
  <c r="Z37" i="2"/>
  <c r="BA33" i="6"/>
  <c r="DH37" i="2"/>
  <c r="DF56" i="2" s="1"/>
  <c r="CM37" i="2"/>
  <c r="CL53" i="2" s="1"/>
  <c r="CL57" i="2" s="1"/>
  <c r="CX37" i="2"/>
  <c r="BA12" i="1"/>
  <c r="LO38" i="2"/>
  <c r="LO42" i="2" s="1"/>
  <c r="NZ37" i="2"/>
  <c r="DL37" i="2"/>
  <c r="QN37" i="2"/>
  <c r="PV59" i="2" s="1"/>
  <c r="W34" i="2"/>
  <c r="DJ37" i="2"/>
  <c r="DF59" i="2" s="1"/>
  <c r="LP38" i="2"/>
  <c r="LP42" i="2" s="1"/>
  <c r="FX30" i="2"/>
  <c r="EJ37" i="2"/>
  <c r="DT37" i="2"/>
  <c r="DN60" i="2" s="1"/>
  <c r="RA37" i="2"/>
  <c r="PQ60" i="2" s="1"/>
  <c r="BS37" i="2"/>
  <c r="BG59" i="2" s="1"/>
  <c r="Y33" i="6"/>
  <c r="G33" i="6"/>
  <c r="BG33" i="6"/>
  <c r="PW37" i="2"/>
  <c r="F38" i="8"/>
  <c r="F39" i="8" s="1"/>
  <c r="AD37" i="2"/>
  <c r="X37" i="2"/>
  <c r="G29" i="6"/>
  <c r="AH37" i="2"/>
  <c r="Y37" i="2"/>
  <c r="DD37" i="2"/>
  <c r="AR42" i="1"/>
  <c r="BQ37" i="2"/>
  <c r="W30" i="2"/>
  <c r="K33" i="6"/>
  <c r="BI33" i="6"/>
  <c r="DP37" i="2"/>
  <c r="DN56" i="2" s="1"/>
  <c r="PV37" i="2"/>
  <c r="PV53" i="2" s="1"/>
  <c r="PD37" i="2"/>
  <c r="PD53" i="2" s="1"/>
  <c r="AR37" i="2"/>
  <c r="AR53" i="2" s="1"/>
  <c r="Q37" i="2"/>
  <c r="AR40" i="1" s="1"/>
  <c r="EH37" i="2"/>
  <c r="EH42" i="2" s="1"/>
  <c r="RF37" i="2"/>
  <c r="PV60" i="2" s="1"/>
  <c r="BP37" i="2"/>
  <c r="BD59" i="2" s="1"/>
  <c r="ED37" i="2"/>
  <c r="ED42" i="2" s="1"/>
  <c r="AC36" i="1"/>
  <c r="AC37" i="1" s="1"/>
  <c r="BG36" i="1"/>
  <c r="BG37" i="1" s="1"/>
  <c r="AV37" i="2"/>
  <c r="AV53" i="2" s="1"/>
  <c r="CW37" i="2"/>
  <c r="CV60" i="2" s="1"/>
  <c r="RH37" i="2"/>
  <c r="PX60" i="2" s="1"/>
  <c r="RB37" i="2"/>
  <c r="PR60" i="2" s="1"/>
  <c r="CC37" i="2"/>
  <c r="PU37" i="2"/>
  <c r="PU53" i="2" s="1"/>
  <c r="BG37" i="2"/>
  <c r="PC37" i="2"/>
  <c r="PC53" i="2" s="1"/>
  <c r="AU37" i="2"/>
  <c r="AU53" i="2" s="1"/>
  <c r="M37" i="2"/>
  <c r="J66" i="1" s="1"/>
  <c r="CF37" i="2"/>
  <c r="BH60" i="2" s="1"/>
  <c r="FZ37" i="2"/>
  <c r="FZ42" i="2" s="1"/>
  <c r="EI37" i="2"/>
  <c r="F263" i="8" s="1"/>
  <c r="F264" i="8" s="1"/>
  <c r="BA25" i="1"/>
  <c r="BA23" i="1"/>
  <c r="W14" i="1"/>
  <c r="BA27" i="1"/>
  <c r="BA15" i="1"/>
  <c r="BA13" i="1"/>
  <c r="W21" i="1"/>
  <c r="BA28" i="1"/>
  <c r="BA26" i="1"/>
  <c r="BA24" i="1"/>
  <c r="BA22" i="1"/>
  <c r="BA20" i="1"/>
  <c r="BA18" i="1"/>
  <c r="BA16" i="1"/>
  <c r="BA14" i="1"/>
  <c r="BA19" i="1"/>
  <c r="BA17" i="1"/>
  <c r="BA11" i="1"/>
  <c r="W16" i="1"/>
  <c r="BA21" i="1"/>
  <c r="BE29" i="1"/>
  <c r="BE36" i="1" s="1"/>
  <c r="J65" i="1" s="1"/>
  <c r="BG29" i="6"/>
  <c r="BC29" i="6"/>
  <c r="BK29" i="6"/>
  <c r="BK33" i="6"/>
  <c r="BC33" i="6"/>
  <c r="AY25" i="1"/>
  <c r="AY14" i="1"/>
  <c r="AY28" i="1"/>
  <c r="AY19" i="1"/>
  <c r="AY21" i="1"/>
  <c r="AY12" i="1"/>
  <c r="AY18" i="1"/>
  <c r="AY17" i="1"/>
  <c r="AY16" i="1"/>
  <c r="AY15" i="1"/>
  <c r="W33" i="6"/>
  <c r="F301" i="8"/>
  <c r="G37" i="2"/>
  <c r="F97" i="8"/>
  <c r="F98" i="8" s="1"/>
  <c r="AJ14" i="1"/>
  <c r="AC29" i="6"/>
  <c r="CM29" i="6"/>
  <c r="AW29" i="6"/>
  <c r="M29" i="6"/>
  <c r="BU33" i="6"/>
  <c r="BO33" i="6"/>
  <c r="AS33" i="6"/>
  <c r="AC33" i="6"/>
  <c r="AU29" i="1"/>
  <c r="AU36" i="1" s="1"/>
  <c r="BW29" i="6"/>
  <c r="AS29" i="6"/>
  <c r="AK33" i="6"/>
  <c r="CA33" i="6"/>
  <c r="AW33" i="6"/>
  <c r="AG33" i="6"/>
  <c r="H160" i="8"/>
  <c r="H13" i="8"/>
  <c r="G452" i="8"/>
  <c r="I452" i="8" s="1"/>
  <c r="G275" i="8"/>
  <c r="H405" i="8"/>
  <c r="G396" i="8"/>
  <c r="I396" i="8" s="1"/>
  <c r="I274" i="8"/>
  <c r="I276" i="8"/>
  <c r="I404" i="8"/>
  <c r="H275" i="8"/>
  <c r="H396" i="8"/>
  <c r="I45" i="8"/>
  <c r="D40" i="8"/>
  <c r="H330" i="8"/>
  <c r="H512" i="8"/>
  <c r="I37" i="2"/>
  <c r="AR39" i="1" s="1"/>
  <c r="K30" i="2"/>
  <c r="K37" i="2" s="1"/>
  <c r="L66" i="1" s="1"/>
  <c r="U37" i="2"/>
  <c r="C32" i="5"/>
  <c r="AJ21" i="1"/>
  <c r="A3" i="15"/>
  <c r="C31" i="5"/>
  <c r="C28" i="5"/>
  <c r="I33" i="3"/>
  <c r="AR33" i="6"/>
  <c r="BI29" i="1"/>
  <c r="BI36" i="1" s="1"/>
  <c r="BU29" i="6"/>
  <c r="BJ33" i="6"/>
  <c r="C28" i="7"/>
  <c r="CR37" i="2"/>
  <c r="CQ60" i="2" s="1"/>
  <c r="E18" i="2"/>
  <c r="AG17" i="1" s="1"/>
  <c r="AR50" i="1"/>
  <c r="BT33" i="6"/>
  <c r="DR37" i="2"/>
  <c r="DN59" i="2" s="1"/>
  <c r="BM32" i="6"/>
  <c r="CT32" i="6" s="1"/>
  <c r="E32" i="2"/>
  <c r="AG31" i="1" s="1"/>
  <c r="E22" i="2"/>
  <c r="AG21" i="1" s="1"/>
  <c r="AE29" i="1"/>
  <c r="AE36" i="1" s="1"/>
  <c r="BQ33" i="6"/>
  <c r="AU33" i="6"/>
  <c r="BZ33" i="6"/>
  <c r="AK29" i="6"/>
  <c r="BY29" i="6"/>
  <c r="BQ29" i="6"/>
  <c r="AU29" i="6"/>
  <c r="K29" i="6"/>
  <c r="BI29" i="6"/>
  <c r="AQ29" i="6"/>
  <c r="W29" i="6"/>
  <c r="BE29" i="6"/>
  <c r="M33" i="6"/>
  <c r="AE33" i="6"/>
  <c r="S29" i="1"/>
  <c r="S36" i="1" s="1"/>
  <c r="BY33" i="6"/>
  <c r="E26" i="2"/>
  <c r="AG25" i="1" s="1"/>
  <c r="AP31" i="1"/>
  <c r="AB30" i="2"/>
  <c r="S30" i="2"/>
  <c r="E29" i="2"/>
  <c r="AG28" i="1" s="1"/>
  <c r="BT37" i="2"/>
  <c r="BH59" i="2" s="1"/>
  <c r="BH37" i="2"/>
  <c r="AR52" i="1"/>
  <c r="BA29" i="6"/>
  <c r="LR38" i="2"/>
  <c r="LR42" i="2" s="1"/>
  <c r="F389" i="8"/>
  <c r="F390" i="8" s="1"/>
  <c r="F391" i="8" s="1"/>
  <c r="F298" i="8"/>
  <c r="CM33" i="6"/>
  <c r="BB24" i="1"/>
  <c r="BB22" i="1"/>
  <c r="M31" i="1"/>
  <c r="F31" i="1"/>
  <c r="F15" i="1"/>
  <c r="F32" i="1"/>
  <c r="F25" i="1"/>
  <c r="AR57" i="1"/>
  <c r="F28" i="1"/>
  <c r="AV13" i="6"/>
  <c r="AT25" i="6"/>
  <c r="AV24" i="6"/>
  <c r="X22" i="6"/>
  <c r="AV23" i="6"/>
  <c r="BB27" i="1"/>
  <c r="BB13" i="1"/>
  <c r="BB15" i="1"/>
  <c r="BM31" i="6"/>
  <c r="CT31" i="6" s="1"/>
  <c r="BS33" i="6"/>
  <c r="BE33" i="3"/>
  <c r="BE38" i="3" s="1"/>
  <c r="AE33" i="3"/>
  <c r="AE38" i="3" s="1"/>
  <c r="AE40" i="3" s="1"/>
  <c r="U33" i="3"/>
  <c r="U38" i="3" s="1"/>
  <c r="U40" i="3" s="1"/>
  <c r="O33" i="3"/>
  <c r="O38" i="3" s="1"/>
  <c r="O40" i="3" s="1"/>
  <c r="AS38" i="3"/>
  <c r="AS40" i="3" s="1"/>
  <c r="AL32" i="5"/>
  <c r="V32" i="5"/>
  <c r="H32" i="5"/>
  <c r="F41" i="8"/>
  <c r="F42" i="8" s="1"/>
  <c r="F43" i="8" s="1"/>
  <c r="F140" i="8"/>
  <c r="F141" i="8" s="1"/>
  <c r="F142" i="8" s="1"/>
  <c r="F143" i="8"/>
  <c r="F145" i="8" s="1"/>
  <c r="E33" i="2"/>
  <c r="AG32" i="1" s="1"/>
  <c r="E28" i="2"/>
  <c r="AG27" i="1" s="1"/>
  <c r="E13" i="2"/>
  <c r="AG12" i="1" s="1"/>
  <c r="E12" i="2"/>
  <c r="AG11" i="1" s="1"/>
  <c r="AT20" i="6"/>
  <c r="W33" i="3"/>
  <c r="W38" i="3" s="1"/>
  <c r="F119" i="8" s="1"/>
  <c r="G343" i="8"/>
  <c r="I343" i="8" s="1"/>
  <c r="AB34" i="2"/>
  <c r="DB34" i="2"/>
  <c r="E17" i="2"/>
  <c r="AG16" i="1" s="1"/>
  <c r="E16" i="2"/>
  <c r="AG15" i="1" s="1"/>
  <c r="BJ14" i="6"/>
  <c r="E15" i="2"/>
  <c r="AG14" i="1" s="1"/>
  <c r="BJ13" i="6"/>
  <c r="E14" i="2"/>
  <c r="AG13" i="1" s="1"/>
  <c r="AE12" i="2"/>
  <c r="E32" i="1"/>
  <c r="AF19" i="6"/>
  <c r="AF18" i="6"/>
  <c r="AB18" i="6"/>
  <c r="B44" i="7"/>
  <c r="Y33" i="3"/>
  <c r="F17" i="1"/>
  <c r="PH37" i="2"/>
  <c r="QX37" i="2"/>
  <c r="PN60" i="2" s="1"/>
  <c r="X31" i="6"/>
  <c r="X28" i="6"/>
  <c r="AB17" i="6"/>
  <c r="S33" i="3"/>
  <c r="S38" i="3" s="1"/>
  <c r="F113" i="8" s="1"/>
  <c r="EC34" i="2"/>
  <c r="OA34" i="2"/>
  <c r="AF34" i="2"/>
  <c r="E27" i="2"/>
  <c r="AG26" i="1" s="1"/>
  <c r="E25" i="2"/>
  <c r="AG24" i="1" s="1"/>
  <c r="E23" i="2"/>
  <c r="AG22" i="1" s="1"/>
  <c r="E21" i="2"/>
  <c r="AG20" i="1" s="1"/>
  <c r="E20" i="2"/>
  <c r="AG19" i="1" s="1"/>
  <c r="E19" i="2"/>
  <c r="AG18" i="1" s="1"/>
  <c r="AF12" i="2"/>
  <c r="AR33" i="3"/>
  <c r="J33" i="3"/>
  <c r="E336" i="8" s="1"/>
  <c r="H343" i="8"/>
  <c r="BB19" i="1"/>
  <c r="BO29" i="6"/>
  <c r="BS29" i="6"/>
  <c r="AG29" i="6"/>
  <c r="AW29" i="1"/>
  <c r="AW36" i="1" s="1"/>
  <c r="BE33" i="6"/>
  <c r="BF33" i="6"/>
  <c r="W22" i="1"/>
  <c r="W12" i="1"/>
  <c r="D33" i="3"/>
  <c r="D38" i="3" s="1"/>
  <c r="E432" i="8" s="1"/>
  <c r="E416" i="8" s="1"/>
  <c r="E15" i="1"/>
  <c r="F21" i="1"/>
  <c r="F31" i="5"/>
  <c r="DK30" i="2"/>
  <c r="NW30" i="2"/>
  <c r="NW54" i="2" s="1"/>
  <c r="BN12" i="6"/>
  <c r="LH38" i="2"/>
  <c r="E206" i="8" s="1"/>
  <c r="X20" i="6"/>
  <c r="AD22" i="6"/>
  <c r="AJ31" i="5"/>
  <c r="A3" i="11"/>
  <c r="OU34" i="2"/>
  <c r="OU55" i="2" s="1"/>
  <c r="X14" i="6"/>
  <c r="AT13" i="6"/>
  <c r="B42" i="7"/>
  <c r="F20" i="1"/>
  <c r="F19" i="1"/>
  <c r="AL30" i="3"/>
  <c r="R30" i="3"/>
  <c r="H30" i="3"/>
  <c r="H44" i="3" s="1"/>
  <c r="B44" i="3" s="1"/>
  <c r="BH26" i="3"/>
  <c r="BH33" i="3" s="1"/>
  <c r="R26" i="3"/>
  <c r="CF26" i="4"/>
  <c r="BJ26" i="4"/>
  <c r="AR36" i="3" s="1"/>
  <c r="AJ26" i="4"/>
  <c r="B32" i="5"/>
  <c r="AL28" i="5"/>
  <c r="V28" i="5"/>
  <c r="H28" i="5"/>
  <c r="R28" i="5"/>
  <c r="L28" i="5"/>
  <c r="AP30" i="2"/>
  <c r="BB30" i="2"/>
  <c r="BB37" i="2" s="1"/>
  <c r="D31" i="5"/>
  <c r="D32" i="5"/>
  <c r="CL33" i="6"/>
  <c r="N26" i="3"/>
  <c r="N30" i="3"/>
  <c r="DV30" i="2"/>
  <c r="DV37" i="2" s="1"/>
  <c r="E283" i="8" s="1"/>
  <c r="P33" i="3"/>
  <c r="BL14" i="6"/>
  <c r="CS14" i="6" s="1"/>
  <c r="W13" i="1"/>
  <c r="BN20" i="6"/>
  <c r="BR32" i="6"/>
  <c r="BR16" i="6"/>
  <c r="BL16" i="6" s="1"/>
  <c r="CS16" i="6" s="1"/>
  <c r="J28" i="5"/>
  <c r="AF28" i="5"/>
  <c r="BJ19" i="6"/>
  <c r="F23" i="1"/>
  <c r="A3" i="8"/>
  <c r="AT31" i="6"/>
  <c r="W18" i="1"/>
  <c r="T33" i="3"/>
  <c r="T38" i="3" s="1"/>
  <c r="E116" i="8" s="1"/>
  <c r="E117" i="8" s="1"/>
  <c r="E118" i="8" s="1"/>
  <c r="G118" i="8" s="1"/>
  <c r="I118" i="8" s="1"/>
  <c r="E134" i="8"/>
  <c r="FV30" i="2"/>
  <c r="L16" i="6"/>
  <c r="L29" i="6" s="1"/>
  <c r="A3" i="13"/>
  <c r="OW34" i="2"/>
  <c r="OW55" i="2" s="1"/>
  <c r="F27" i="6"/>
  <c r="BJ25" i="6"/>
  <c r="BJ20" i="6"/>
  <c r="NV30" i="2"/>
  <c r="EB30" i="2"/>
  <c r="EB37" i="2" s="1"/>
  <c r="EB38" i="2" s="1"/>
  <c r="E350" i="8" s="1"/>
  <c r="F15" i="6"/>
  <c r="F14" i="6"/>
  <c r="F13" i="6"/>
  <c r="OV30" i="2"/>
  <c r="OV54" i="2" s="1"/>
  <c r="DY30" i="2"/>
  <c r="DM30" i="2"/>
  <c r="DM54" i="2" s="1"/>
  <c r="BD12" i="6"/>
  <c r="DG30" i="2"/>
  <c r="DG37" i="2" s="1"/>
  <c r="DE56" i="2" s="1"/>
  <c r="CH30" i="2"/>
  <c r="QY30" i="2"/>
  <c r="QY37" i="2" s="1"/>
  <c r="PO60" i="2" s="1"/>
  <c r="QS30" i="2"/>
  <c r="QS37" i="2" s="1"/>
  <c r="PI60" i="2" s="1"/>
  <c r="BW30" i="2"/>
  <c r="BW37" i="2" s="1"/>
  <c r="PL30" i="2"/>
  <c r="PL37" i="2" s="1"/>
  <c r="OW30" i="2"/>
  <c r="OW54" i="2" s="1"/>
  <c r="E143" i="8"/>
  <c r="BP33" i="6"/>
  <c r="L33" i="6"/>
  <c r="X32" i="6"/>
  <c r="E140" i="8"/>
  <c r="AD31" i="6"/>
  <c r="AV28" i="6"/>
  <c r="AT24" i="6"/>
  <c r="AB21" i="6"/>
  <c r="AD20" i="6"/>
  <c r="BL18" i="6"/>
  <c r="CS18" i="6" s="1"/>
  <c r="DQ34" i="2"/>
  <c r="DU12" i="2"/>
  <c r="DU30" i="2" s="1"/>
  <c r="DU54" i="2" s="1"/>
  <c r="BD18" i="6"/>
  <c r="BJ17" i="6"/>
  <c r="BD11" i="6"/>
  <c r="BX32" i="6"/>
  <c r="BX33" i="6" s="1"/>
  <c r="DK34" i="2"/>
  <c r="BR28" i="6"/>
  <c r="BL28" i="6" s="1"/>
  <c r="CS28" i="6" s="1"/>
  <c r="AY30" i="2"/>
  <c r="AY37" i="2" s="1"/>
  <c r="AB23" i="6"/>
  <c r="AT33" i="3"/>
  <c r="AT38" i="3" s="1"/>
  <c r="E61" i="8" s="1"/>
  <c r="G61" i="8" s="1"/>
  <c r="I61" i="8" s="1"/>
  <c r="W15" i="1"/>
  <c r="W17" i="1"/>
  <c r="W20" i="1"/>
  <c r="DS30" i="2"/>
  <c r="DS37" i="2" s="1"/>
  <c r="DM60" i="2" s="1"/>
  <c r="FW30" i="2"/>
  <c r="BP15" i="6"/>
  <c r="BL15" i="6" s="1"/>
  <c r="CS15" i="6" s="1"/>
  <c r="X21" i="6"/>
  <c r="BP12" i="6"/>
  <c r="H34" i="2"/>
  <c r="CI34" i="2"/>
  <c r="CI37" i="2" s="1"/>
  <c r="BP21" i="6"/>
  <c r="BL21" i="6" s="1"/>
  <c r="CS21" i="6" s="1"/>
  <c r="DI12" i="2"/>
  <c r="BJ24" i="6"/>
  <c r="AV11" i="6"/>
  <c r="DO34" i="2"/>
  <c r="AJ12" i="6"/>
  <c r="B41" i="7"/>
  <c r="D28" i="5"/>
  <c r="W23" i="1"/>
  <c r="AF14" i="6"/>
  <c r="AB14" i="6"/>
  <c r="AV15" i="6"/>
  <c r="J31" i="6"/>
  <c r="BD31" i="6"/>
  <c r="BD33" i="6" s="1"/>
  <c r="BJ21" i="6"/>
  <c r="L33" i="3"/>
  <c r="L38" i="3" s="1"/>
  <c r="E325" i="8" s="1"/>
  <c r="E321" i="8" s="1"/>
  <c r="PM30" i="2"/>
  <c r="PM37" i="2" s="1"/>
  <c r="PM56" i="2" s="1"/>
  <c r="BN12" i="2"/>
  <c r="AZ14" i="6"/>
  <c r="AL30" i="2"/>
  <c r="PI30" i="2"/>
  <c r="PI37" i="2" s="1"/>
  <c r="W25" i="1"/>
  <c r="BF28" i="6"/>
  <c r="W28" i="1"/>
  <c r="BV33" i="6"/>
  <c r="AA30" i="2"/>
  <c r="AA37" i="2" s="1"/>
  <c r="N41" i="1" s="1"/>
  <c r="E125" i="8"/>
  <c r="BV30" i="2"/>
  <c r="BV37" i="2" s="1"/>
  <c r="AX60" i="2" s="1"/>
  <c r="AT12" i="6"/>
  <c r="AD19" i="6"/>
  <c r="X26" i="6"/>
  <c r="AV16" i="6"/>
  <c r="AT28" i="6"/>
  <c r="DI34" i="2"/>
  <c r="AT23" i="6"/>
  <c r="V33" i="3"/>
  <c r="V38" i="3" s="1"/>
  <c r="E119" i="8" s="1"/>
  <c r="W11" i="1"/>
  <c r="BN31" i="6"/>
  <c r="BN33" i="6" s="1"/>
  <c r="W19" i="1"/>
  <c r="BH33" i="6"/>
  <c r="FW34" i="2"/>
  <c r="BV29" i="6"/>
  <c r="W24" i="1"/>
  <c r="AF16" i="6"/>
  <c r="W27" i="1"/>
  <c r="AY11" i="1"/>
  <c r="G29" i="1"/>
  <c r="F10" i="11"/>
  <c r="F8" i="11" s="1"/>
  <c r="M32" i="1"/>
  <c r="G33" i="1"/>
  <c r="F137" i="8"/>
  <c r="F138" i="8" s="1"/>
  <c r="F139" i="8" s="1"/>
  <c r="C27" i="7"/>
  <c r="AK29" i="1"/>
  <c r="AK33" i="1"/>
  <c r="F134" i="8"/>
  <c r="F125" i="8"/>
  <c r="BH29" i="1"/>
  <c r="BH36" i="1" s="1"/>
  <c r="J76" i="1" s="1"/>
  <c r="E24" i="2"/>
  <c r="AG23" i="1" s="1"/>
  <c r="K33" i="3"/>
  <c r="F336" i="8" s="1"/>
  <c r="AS27" i="1"/>
  <c r="AS26" i="1"/>
  <c r="AS24" i="1"/>
  <c r="AS23" i="1"/>
  <c r="AS22" i="1"/>
  <c r="AU33" i="3"/>
  <c r="AU38" i="3" s="1"/>
  <c r="F61" i="8" s="1"/>
  <c r="AS20" i="1"/>
  <c r="AS13" i="1"/>
  <c r="AQ33" i="6"/>
  <c r="AZ33" i="6"/>
  <c r="C29" i="7"/>
  <c r="I317" i="8"/>
  <c r="E33" i="3"/>
  <c r="E38" i="3" s="1"/>
  <c r="F432" i="8" s="1"/>
  <c r="F416" i="8" s="1"/>
  <c r="F146" i="8"/>
  <c r="F148" i="8" s="1"/>
  <c r="AP24" i="1"/>
  <c r="AT21" i="6"/>
  <c r="BR20" i="6"/>
  <c r="OY34" i="2"/>
  <c r="OY55" i="2" s="1"/>
  <c r="BJ23" i="6"/>
  <c r="BL26" i="6"/>
  <c r="CS26" i="6" s="1"/>
  <c r="DO30" i="2"/>
  <c r="BJ18" i="6"/>
  <c r="FU12" i="2"/>
  <c r="AB32" i="5"/>
  <c r="BL23" i="6"/>
  <c r="CS23" i="6" s="1"/>
  <c r="BX29" i="6"/>
  <c r="W26" i="1"/>
  <c r="Q29" i="1"/>
  <c r="Q36" i="1" s="1"/>
  <c r="AD17" i="1"/>
  <c r="BL17" i="1" s="1"/>
  <c r="J34" i="2"/>
  <c r="BL19" i="6"/>
  <c r="CS19" i="6" s="1"/>
  <c r="OV34" i="2"/>
  <c r="OV55" i="2" s="1"/>
  <c r="AO34" i="2"/>
  <c r="AO55" i="2" s="1"/>
  <c r="AK55" i="2" s="1"/>
  <c r="AB32" i="6"/>
  <c r="AB33" i="6" s="1"/>
  <c r="AR29" i="6"/>
  <c r="AF17" i="6"/>
  <c r="AV20" i="6"/>
  <c r="BT13" i="6"/>
  <c r="BR31" i="6"/>
  <c r="BL11" i="6"/>
  <c r="CS11" i="6" s="1"/>
  <c r="AV33" i="6"/>
  <c r="EA30" i="2"/>
  <c r="EA37" i="2" s="1"/>
  <c r="E263" i="8" s="1"/>
  <c r="V33" i="6"/>
  <c r="AP29" i="6"/>
  <c r="AD24" i="6"/>
  <c r="BA34" i="2"/>
  <c r="AH32" i="5"/>
  <c r="L32" i="5"/>
  <c r="AG30" i="2"/>
  <c r="AG37" i="2" s="1"/>
  <c r="BB29" i="6"/>
  <c r="F17" i="6"/>
  <c r="AD19" i="1"/>
  <c r="BL19" i="1" s="1"/>
  <c r="AT17" i="6"/>
  <c r="AD11" i="6"/>
  <c r="BZ30" i="2"/>
  <c r="BZ37" i="2" s="1"/>
  <c r="BB60" i="2" s="1"/>
  <c r="BL27" i="6"/>
  <c r="CS27" i="6" s="1"/>
  <c r="V34" i="2"/>
  <c r="BD26" i="6"/>
  <c r="X25" i="6"/>
  <c r="BD16" i="6"/>
  <c r="AB27" i="6"/>
  <c r="AV25" i="6"/>
  <c r="AF23" i="6"/>
  <c r="AV22" i="6"/>
  <c r="AD15" i="1"/>
  <c r="BL15" i="1" s="1"/>
  <c r="BD28" i="6"/>
  <c r="F21" i="6"/>
  <c r="BK12" i="2"/>
  <c r="BZ17" i="6"/>
  <c r="BL17" i="6" s="1"/>
  <c r="CS17" i="6" s="1"/>
  <c r="AF12" i="6"/>
  <c r="AB12" i="6"/>
  <c r="AB11" i="6"/>
  <c r="BJ22" i="6"/>
  <c r="AT27" i="6"/>
  <c r="AD25" i="6"/>
  <c r="AB22" i="6"/>
  <c r="AD15" i="6"/>
  <c r="AF33" i="6"/>
  <c r="BD24" i="6"/>
  <c r="AB20" i="6"/>
  <c r="X16" i="6"/>
  <c r="AD32" i="5"/>
  <c r="P32" i="5"/>
  <c r="FV34" i="2"/>
  <c r="F31" i="6"/>
  <c r="F33" i="6" s="1"/>
  <c r="DE34" i="2"/>
  <c r="DE55" i="2" s="1"/>
  <c r="AZ22" i="6"/>
  <c r="BD13" i="6"/>
  <c r="F12" i="6"/>
  <c r="DE30" i="2"/>
  <c r="DE54" i="2" s="1"/>
  <c r="PO30" i="2"/>
  <c r="PO37" i="2" s="1"/>
  <c r="BJ11" i="6"/>
  <c r="E25" i="1"/>
  <c r="BZ25" i="6"/>
  <c r="BL25" i="6" s="1"/>
  <c r="CS25" i="6" s="1"/>
  <c r="BZ24" i="6"/>
  <c r="BL24" i="6" s="1"/>
  <c r="CS24" i="6" s="1"/>
  <c r="AF21" i="6"/>
  <c r="DY34" i="2"/>
  <c r="BA30" i="2"/>
  <c r="QV30" i="2"/>
  <c r="QV37" i="2" s="1"/>
  <c r="PL60" i="2" s="1"/>
  <c r="BD26" i="3"/>
  <c r="BD33" i="3" s="1"/>
  <c r="F23" i="6"/>
  <c r="BD22" i="6"/>
  <c r="BD19" i="6"/>
  <c r="AJ31" i="6"/>
  <c r="BZ22" i="6"/>
  <c r="AF11" i="6"/>
  <c r="AP32" i="6"/>
  <c r="AP33" i="6" s="1"/>
  <c r="T34" i="2"/>
  <c r="E295" i="8"/>
  <c r="BZ26" i="4"/>
  <c r="NW34" i="2"/>
  <c r="NW55" i="2" s="1"/>
  <c r="NU55" i="2" s="1"/>
  <c r="BB31" i="6"/>
  <c r="BF25" i="6"/>
  <c r="AZ15" i="6"/>
  <c r="BJ12" i="6"/>
  <c r="AD12" i="6"/>
  <c r="CB26" i="4"/>
  <c r="BD36" i="3" s="1"/>
  <c r="BN26" i="4"/>
  <c r="X26" i="4"/>
  <c r="V30" i="2"/>
  <c r="AT32" i="6"/>
  <c r="P34" i="2"/>
  <c r="R34" i="2"/>
  <c r="BF27" i="6"/>
  <c r="BF22" i="6"/>
  <c r="J15" i="6"/>
  <c r="DZ30" i="2"/>
  <c r="DZ37" i="2" s="1"/>
  <c r="B9" i="7" s="1"/>
  <c r="BJ15" i="6"/>
  <c r="AV17" i="6"/>
  <c r="X12" i="6"/>
  <c r="E10" i="11"/>
  <c r="E8" i="11" s="1"/>
  <c r="AD28" i="5"/>
  <c r="AD31" i="5"/>
  <c r="BY30" i="2"/>
  <c r="BY37" i="2" s="1"/>
  <c r="BA60" i="2" s="1"/>
  <c r="PN30" i="2"/>
  <c r="QW30" i="2"/>
  <c r="QW37" i="2" s="1"/>
  <c r="PM60" i="2" s="1"/>
  <c r="QR30" i="2"/>
  <c r="QR37" i="2" s="1"/>
  <c r="PH60" i="2" s="1"/>
  <c r="LK38" i="2"/>
  <c r="CR26" i="4"/>
  <c r="BV26" i="4"/>
  <c r="BB36" i="3" s="1"/>
  <c r="BB38" i="3" s="1"/>
  <c r="E244" i="8" s="1"/>
  <c r="L26" i="4"/>
  <c r="AH31" i="5"/>
  <c r="R31" i="5"/>
  <c r="L31" i="5"/>
  <c r="AL31" i="5"/>
  <c r="V31" i="5"/>
  <c r="P28" i="5"/>
  <c r="H31" i="5"/>
  <c r="D486" i="8" l="1"/>
  <c r="D20" i="6"/>
  <c r="D28" i="6"/>
  <c r="D12" i="6"/>
  <c r="D26" i="6"/>
  <c r="D22" i="6"/>
  <c r="D11" i="6"/>
  <c r="D25" i="6"/>
  <c r="D21" i="6"/>
  <c r="D24" i="6"/>
  <c r="B24" i="6" s="1"/>
  <c r="D23" i="6"/>
  <c r="D31" i="6"/>
  <c r="D32" i="6"/>
  <c r="C26" i="16"/>
  <c r="C28" i="16" s="1"/>
  <c r="F383" i="8"/>
  <c r="F384" i="8" s="1"/>
  <c r="F385" i="8" s="1"/>
  <c r="FY42" i="2"/>
  <c r="E14" i="16"/>
  <c r="D488" i="8"/>
  <c r="F244" i="8"/>
  <c r="F245" i="8" s="1"/>
  <c r="F246" i="8" s="1"/>
  <c r="BC40" i="3"/>
  <c r="F257" i="8"/>
  <c r="EG42" i="2"/>
  <c r="F210" i="8"/>
  <c r="F206" i="8"/>
  <c r="BI12" i="2"/>
  <c r="BC59" i="2"/>
  <c r="AQ53" i="2"/>
  <c r="AW60" i="2"/>
  <c r="BC60" i="2"/>
  <c r="B30" i="7"/>
  <c r="PI56" i="2"/>
  <c r="PI53" i="2"/>
  <c r="PQ53" i="2"/>
  <c r="PQ56" i="2"/>
  <c r="PL56" i="2"/>
  <c r="PL53" i="2"/>
  <c r="PW53" i="2"/>
  <c r="PW56" i="2"/>
  <c r="PX56" i="2"/>
  <c r="PX53" i="2"/>
  <c r="PR53" i="2"/>
  <c r="PR56" i="2"/>
  <c r="PO56" i="2"/>
  <c r="PO53" i="2"/>
  <c r="PH56" i="2"/>
  <c r="PH53" i="2"/>
  <c r="AB11" i="1"/>
  <c r="BL11" i="1" s="1"/>
  <c r="E126" i="8"/>
  <c r="E127" i="8" s="1"/>
  <c r="F126" i="8"/>
  <c r="AJ33" i="6"/>
  <c r="AD33" i="6"/>
  <c r="AJ29" i="6"/>
  <c r="D280" i="8"/>
  <c r="D281" i="8" s="1"/>
  <c r="BD53" i="2"/>
  <c r="F304" i="8"/>
  <c r="NZ53" i="2"/>
  <c r="NY53" i="2"/>
  <c r="D348" i="8"/>
  <c r="D36" i="8"/>
  <c r="DF60" i="2"/>
  <c r="PA38" i="2"/>
  <c r="PA53" i="2"/>
  <c r="OZ53" i="2" s="1"/>
  <c r="EJ38" i="2"/>
  <c r="OS55" i="2"/>
  <c r="PN37" i="2"/>
  <c r="S37" i="2"/>
  <c r="L67" i="1"/>
  <c r="C67" i="1" s="1"/>
  <c r="J68" i="1"/>
  <c r="C66" i="1"/>
  <c r="G41" i="2"/>
  <c r="SX44" i="2"/>
  <c r="F15" i="8"/>
  <c r="F16" i="8" s="1"/>
  <c r="F17" i="8" s="1"/>
  <c r="F44" i="8"/>
  <c r="F46" i="8" s="1"/>
  <c r="BW36" i="6"/>
  <c r="PF38" i="2"/>
  <c r="PF42" i="2" s="1"/>
  <c r="F35" i="8"/>
  <c r="AI31" i="1"/>
  <c r="NY42" i="2"/>
  <c r="C43" i="7"/>
  <c r="BA36" i="6"/>
  <c r="BD56" i="2"/>
  <c r="W37" i="2"/>
  <c r="C23" i="7"/>
  <c r="E34" i="2"/>
  <c r="E44" i="2" s="1"/>
  <c r="CL38" i="2"/>
  <c r="NZ42" i="2"/>
  <c r="AR46" i="1"/>
  <c r="K36" i="6"/>
  <c r="DF38" i="2"/>
  <c r="F163" i="8" s="1"/>
  <c r="F47" i="8"/>
  <c r="F49" i="8" s="1"/>
  <c r="AR45" i="1"/>
  <c r="H514" i="8"/>
  <c r="D204" i="8"/>
  <c r="F37" i="11"/>
  <c r="F58" i="8"/>
  <c r="F54" i="8" s="1"/>
  <c r="AR38" i="2"/>
  <c r="AR41" i="2" s="1"/>
  <c r="E305" i="8"/>
  <c r="E308" i="8" s="1"/>
  <c r="B15" i="7"/>
  <c r="AM17" i="1"/>
  <c r="C34" i="7"/>
  <c r="D241" i="8"/>
  <c r="D242" i="8" s="1"/>
  <c r="D508" i="8"/>
  <c r="CN38" i="2"/>
  <c r="F88" i="8" s="1"/>
  <c r="J33" i="6"/>
  <c r="W40" i="3"/>
  <c r="O38" i="2"/>
  <c r="DN38" i="2"/>
  <c r="DN53" i="2" s="1"/>
  <c r="DN57" i="2" s="1"/>
  <c r="M40" i="3"/>
  <c r="AQ36" i="6"/>
  <c r="H128" i="8"/>
  <c r="AW36" i="6"/>
  <c r="PE38" i="2"/>
  <c r="PE42" i="2" s="1"/>
  <c r="F114" i="8"/>
  <c r="BH56" i="2"/>
  <c r="BH53" i="2"/>
  <c r="PV56" i="2"/>
  <c r="PU56" i="2"/>
  <c r="BG56" i="2"/>
  <c r="BG53" i="2"/>
  <c r="PB38" i="2"/>
  <c r="PB42" i="2" s="1"/>
  <c r="I2" i="5"/>
  <c r="I2" i="3"/>
  <c r="CB33" i="6"/>
  <c r="C42" i="7"/>
  <c r="AP37" i="2"/>
  <c r="AP53" i="2" s="1"/>
  <c r="AP54" i="2"/>
  <c r="NV37" i="2"/>
  <c r="NV54" i="2"/>
  <c r="NU54" i="2" s="1"/>
  <c r="E44" i="8"/>
  <c r="BB53" i="2"/>
  <c r="BB56" i="2"/>
  <c r="AL37" i="2"/>
  <c r="AL53" i="2" s="1"/>
  <c r="AL54" i="2"/>
  <c r="PM53" i="2"/>
  <c r="AV38" i="2"/>
  <c r="AV41" i="2" s="1"/>
  <c r="CG54" i="2"/>
  <c r="CQ53" i="2"/>
  <c r="CQ56" i="2"/>
  <c r="CM38" i="2"/>
  <c r="CM41" i="2" s="1"/>
  <c r="CV53" i="2"/>
  <c r="CV56" i="2"/>
  <c r="EC37" i="2"/>
  <c r="EC53" i="2" s="1"/>
  <c r="EC55" i="2"/>
  <c r="C55" i="2" s="1"/>
  <c r="FX37" i="2"/>
  <c r="FX53" i="2" s="1"/>
  <c r="FX54" i="2"/>
  <c r="C30" i="7"/>
  <c r="DN61" i="2"/>
  <c r="E47" i="8"/>
  <c r="G47" i="8" s="1"/>
  <c r="I47" i="8" s="1"/>
  <c r="AM14" i="1"/>
  <c r="AM15" i="1"/>
  <c r="S40" i="3"/>
  <c r="E23" i="1"/>
  <c r="BI36" i="6"/>
  <c r="W36" i="6"/>
  <c r="AC36" i="6"/>
  <c r="G36" i="6"/>
  <c r="BK36" i="6"/>
  <c r="F260" i="8"/>
  <c r="F261" i="8" s="1"/>
  <c r="BQ36" i="6"/>
  <c r="BG36" i="6"/>
  <c r="C21" i="7"/>
  <c r="F386" i="8"/>
  <c r="F387" i="8" s="1"/>
  <c r="F388" i="8" s="1"/>
  <c r="E433" i="8"/>
  <c r="E417" i="8" s="1"/>
  <c r="H513" i="8"/>
  <c r="AU38" i="2"/>
  <c r="F193" i="8" s="1"/>
  <c r="G38" i="2"/>
  <c r="D10" i="15" s="1"/>
  <c r="BC36" i="6"/>
  <c r="PC38" i="2"/>
  <c r="PC42" i="2" s="1"/>
  <c r="PD38" i="2"/>
  <c r="PD42" i="2" s="1"/>
  <c r="E46" i="2"/>
  <c r="C47" i="2"/>
  <c r="M36" i="6"/>
  <c r="EI42" i="2"/>
  <c r="F283" i="8"/>
  <c r="F284" i="8" s="1"/>
  <c r="F40" i="8"/>
  <c r="BE36" i="6"/>
  <c r="E47" i="2"/>
  <c r="BE37" i="1" s="1"/>
  <c r="BA29" i="1"/>
  <c r="BA36" i="1" s="1"/>
  <c r="L74"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C15" i="7"/>
  <c r="C46" i="7"/>
  <c r="F116" i="8"/>
  <c r="F117" i="8" s="1"/>
  <c r="H117" i="8" s="1"/>
  <c r="AR55" i="1"/>
  <c r="F247" i="8"/>
  <c r="BE40" i="3"/>
  <c r="C41" i="7"/>
  <c r="F305" i="8"/>
  <c r="F308" i="8" s="1"/>
  <c r="AR36" i="6"/>
  <c r="CM36" i="6"/>
  <c r="BM33" i="6"/>
  <c r="CT33" i="6" s="1"/>
  <c r="AS36" i="6"/>
  <c r="AG36" i="6"/>
  <c r="BU36" i="6"/>
  <c r="G116" i="8"/>
  <c r="I116" i="8" s="1"/>
  <c r="NW37" i="2"/>
  <c r="BO36" i="6"/>
  <c r="AK36" i="6"/>
  <c r="CC33" i="6"/>
  <c r="I275" i="8"/>
  <c r="K38" i="3"/>
  <c r="K40" i="3" s="1"/>
  <c r="C45" i="7"/>
  <c r="J38" i="3"/>
  <c r="G117" i="8"/>
  <c r="I117" i="8" s="1"/>
  <c r="BA37" i="2"/>
  <c r="AR38" i="3"/>
  <c r="E58" i="8" s="1"/>
  <c r="E54" i="8" s="1"/>
  <c r="C32" i="6"/>
  <c r="AJ26" i="1"/>
  <c r="AJ12" i="1"/>
  <c r="AJ20" i="1"/>
  <c r="AJ32" i="1"/>
  <c r="AJ19" i="1"/>
  <c r="AJ17" i="1"/>
  <c r="AJ16" i="1"/>
  <c r="AJ15" i="1"/>
  <c r="BY36" i="6"/>
  <c r="AU36" i="6"/>
  <c r="AJ13" i="1"/>
  <c r="AJ27" i="1"/>
  <c r="AJ22" i="1"/>
  <c r="L36" i="6"/>
  <c r="AJ23" i="1"/>
  <c r="AJ28" i="1"/>
  <c r="E40" i="3"/>
  <c r="DK37" i="2"/>
  <c r="DE60" i="2" s="1"/>
  <c r="G432" i="8"/>
  <c r="DY37" i="2"/>
  <c r="E257" i="8" s="1"/>
  <c r="DM37" i="2"/>
  <c r="F339" i="8"/>
  <c r="F340" i="8" s="1"/>
  <c r="FV37" i="2"/>
  <c r="E383" i="8" s="1"/>
  <c r="OW37" i="2"/>
  <c r="AU40" i="3"/>
  <c r="F292" i="8"/>
  <c r="I38" i="3"/>
  <c r="I40" i="3" s="1"/>
  <c r="F295" i="8"/>
  <c r="N33" i="3"/>
  <c r="N38" i="3" s="1"/>
  <c r="E339" i="8" s="1"/>
  <c r="E332" i="8" s="1"/>
  <c r="F214" i="8"/>
  <c r="F217" i="8" s="1"/>
  <c r="AM16" i="1"/>
  <c r="E33" i="6"/>
  <c r="E301" i="8"/>
  <c r="DO37" i="2"/>
  <c r="DM56" i="2" s="1"/>
  <c r="AM19" i="1"/>
  <c r="BS36" i="6"/>
  <c r="AP14" i="1"/>
  <c r="AB37" i="2"/>
  <c r="AR41" i="1" s="1"/>
  <c r="BB25" i="1"/>
  <c r="AQ33" i="1"/>
  <c r="BV36" i="6"/>
  <c r="AM25" i="1"/>
  <c r="AM28" i="1"/>
  <c r="V37" i="2"/>
  <c r="AP36" i="6"/>
  <c r="BC29" i="1"/>
  <c r="BC36" i="1" s="1"/>
  <c r="G125" i="8"/>
  <c r="M33" i="1"/>
  <c r="CC29" i="6"/>
  <c r="H143" i="8"/>
  <c r="E145" i="8"/>
  <c r="G143" i="8"/>
  <c r="I143" i="8" s="1"/>
  <c r="E130" i="8"/>
  <c r="G350" i="8"/>
  <c r="I350" i="8" s="1"/>
  <c r="E351" i="8"/>
  <c r="E352" i="8" s="1"/>
  <c r="G352" i="8" s="1"/>
  <c r="I352" i="8" s="1"/>
  <c r="C13" i="7"/>
  <c r="X33" i="6"/>
  <c r="L25" i="1"/>
  <c r="F392" i="8"/>
  <c r="F393" i="8" s="1"/>
  <c r="F394" i="8" s="1"/>
  <c r="C22" i="7"/>
  <c r="F299" i="8"/>
  <c r="F300" i="8" s="1"/>
  <c r="B43" i="7"/>
  <c r="BR29" i="6"/>
  <c r="C35" i="7"/>
  <c r="AP21" i="1"/>
  <c r="X17" i="1"/>
  <c r="BL32" i="6"/>
  <c r="CS32" i="6" s="1"/>
  <c r="AP18" i="1"/>
  <c r="E298" i="8"/>
  <c r="E97" i="8"/>
  <c r="E98" i="8" s="1"/>
  <c r="K32" i="1"/>
  <c r="F14" i="1"/>
  <c r="BL12" i="6"/>
  <c r="CS12" i="6" s="1"/>
  <c r="E16" i="1"/>
  <c r="C18" i="7"/>
  <c r="F27" i="1"/>
  <c r="BB11" i="1"/>
  <c r="AP11" i="1"/>
  <c r="F13" i="1"/>
  <c r="BB17" i="1"/>
  <c r="F12" i="1"/>
  <c r="F26" i="1"/>
  <c r="E389" i="8"/>
  <c r="E368" i="8"/>
  <c r="BX36" i="6"/>
  <c r="Y29" i="1"/>
  <c r="Y36" i="1" s="1"/>
  <c r="E28" i="1"/>
  <c r="F218" i="8"/>
  <c r="F221" i="8" s="1"/>
  <c r="F368" i="8"/>
  <c r="F369" i="8" s="1"/>
  <c r="B35" i="7"/>
  <c r="E392" i="8"/>
  <c r="E17" i="1"/>
  <c r="E13" i="1"/>
  <c r="B27" i="7"/>
  <c r="BL31" i="6"/>
  <c r="CS31" i="6" s="1"/>
  <c r="E12" i="1"/>
  <c r="E22" i="1"/>
  <c r="AM32" i="1"/>
  <c r="L23" i="1"/>
  <c r="C31" i="6"/>
  <c r="BN29" i="6"/>
  <c r="BN36" i="6" s="1"/>
  <c r="H432" i="8"/>
  <c r="E24" i="1"/>
  <c r="E18" i="1"/>
  <c r="E20" i="1"/>
  <c r="DB30" i="2"/>
  <c r="DB37" i="2" s="1"/>
  <c r="AI40" i="3"/>
  <c r="AM24" i="1"/>
  <c r="R33" i="3"/>
  <c r="R38" i="3" s="1"/>
  <c r="E113" i="8" s="1"/>
  <c r="G128" i="8"/>
  <c r="I128" i="8" s="1"/>
  <c r="L20" i="1"/>
  <c r="H134" i="8"/>
  <c r="E14" i="1"/>
  <c r="E26" i="1"/>
  <c r="H119" i="8"/>
  <c r="E11" i="1"/>
  <c r="E27" i="1"/>
  <c r="AM23" i="1"/>
  <c r="H140" i="8"/>
  <c r="G140" i="8"/>
  <c r="I140" i="8" s="1"/>
  <c r="G336" i="8"/>
  <c r="E337" i="8"/>
  <c r="G119" i="8"/>
  <c r="I119" i="8" s="1"/>
  <c r="AE34" i="2"/>
  <c r="L21" i="1"/>
  <c r="E284" i="8"/>
  <c r="L15" i="1"/>
  <c r="H61" i="8"/>
  <c r="BP29" i="6"/>
  <c r="BP36" i="6" s="1"/>
  <c r="E135" i="8"/>
  <c r="E136" i="8" s="1"/>
  <c r="H33" i="3"/>
  <c r="E292" i="8" s="1"/>
  <c r="B31" i="5"/>
  <c r="DU34" i="2"/>
  <c r="QD30" i="2"/>
  <c r="QD37" i="2" s="1"/>
  <c r="PL59" i="2" s="1"/>
  <c r="E120" i="8"/>
  <c r="E121" i="8" s="1"/>
  <c r="G121" i="8" s="1"/>
  <c r="I121" i="8" s="1"/>
  <c r="G283" i="8"/>
  <c r="X19" i="1"/>
  <c r="E62" i="8"/>
  <c r="G62" i="8" s="1"/>
  <c r="I62" i="8" s="1"/>
  <c r="OV37" i="2"/>
  <c r="G134" i="8"/>
  <c r="G135" i="8" s="1"/>
  <c r="I135" i="8" s="1"/>
  <c r="BL20" i="6"/>
  <c r="CS20" i="6" s="1"/>
  <c r="L19" i="1"/>
  <c r="X21" i="1"/>
  <c r="B28" i="5"/>
  <c r="V29" i="6"/>
  <c r="E21" i="1"/>
  <c r="X13" i="1"/>
  <c r="L31" i="1"/>
  <c r="LI38" i="2"/>
  <c r="E210" i="8" s="1"/>
  <c r="AT29" i="6"/>
  <c r="E141" i="8"/>
  <c r="H141" i="8" s="1"/>
  <c r="H125" i="8"/>
  <c r="X27" i="1"/>
  <c r="X23" i="1"/>
  <c r="K15" i="1"/>
  <c r="N45" i="1"/>
  <c r="X28" i="1"/>
  <c r="G325" i="8"/>
  <c r="E326" i="8"/>
  <c r="B45" i="7"/>
  <c r="L17" i="1"/>
  <c r="BN30" i="2"/>
  <c r="BN37" i="2" s="1"/>
  <c r="BB59" i="2" s="1"/>
  <c r="L28" i="1"/>
  <c r="W29" i="1"/>
  <c r="W36" i="1" s="1"/>
  <c r="K74" i="1" s="1"/>
  <c r="FW37" i="2"/>
  <c r="B21" i="7" s="1"/>
  <c r="BH37" i="1"/>
  <c r="AM27" i="1"/>
  <c r="AM13" i="1"/>
  <c r="AK36" i="1"/>
  <c r="AM22" i="1"/>
  <c r="AG29" i="1"/>
  <c r="AM11" i="1"/>
  <c r="AM20" i="1"/>
  <c r="BB16" i="1"/>
  <c r="AV29" i="1"/>
  <c r="AV36" i="1" s="1"/>
  <c r="F135" i="8"/>
  <c r="AM31" i="1"/>
  <c r="AG33" i="1"/>
  <c r="AM26" i="1"/>
  <c r="E30" i="2"/>
  <c r="G36" i="1"/>
  <c r="AS29" i="1"/>
  <c r="AS36" i="1" s="1"/>
  <c r="AQ29" i="1"/>
  <c r="M29" i="1"/>
  <c r="H336" i="8"/>
  <c r="F337" i="8"/>
  <c r="F120" i="8"/>
  <c r="AI32" i="1"/>
  <c r="DQ30" i="2"/>
  <c r="DQ37" i="2" s="1"/>
  <c r="DM59" i="2" s="1"/>
  <c r="F321" i="8"/>
  <c r="H321" i="8" s="1"/>
  <c r="H325" i="8"/>
  <c r="F326" i="8"/>
  <c r="F327" i="8" s="1"/>
  <c r="F433" i="8"/>
  <c r="F417" i="8" s="1"/>
  <c r="F62" i="8"/>
  <c r="E264" i="8"/>
  <c r="H264" i="8" s="1"/>
  <c r="G263" i="8"/>
  <c r="G264" i="8" s="1"/>
  <c r="I264" i="8" s="1"/>
  <c r="H263" i="8"/>
  <c r="FU34" i="2"/>
  <c r="FU55" i="2" s="1"/>
  <c r="AE30" i="2"/>
  <c r="F22" i="1"/>
  <c r="FU30" i="2"/>
  <c r="FU54" i="2" s="1"/>
  <c r="BL13" i="6"/>
  <c r="CS13" i="6" s="1"/>
  <c r="BT29" i="6"/>
  <c r="BT36" i="6" s="1"/>
  <c r="BR33" i="6"/>
  <c r="CG30" i="2"/>
  <c r="BD38" i="3"/>
  <c r="E247" i="8" s="1"/>
  <c r="AB29" i="6"/>
  <c r="AB36" i="6" s="1"/>
  <c r="L32" i="1"/>
  <c r="F33" i="1"/>
  <c r="BK30" i="2"/>
  <c r="BK37" i="2" s="1"/>
  <c r="AF29" i="6"/>
  <c r="AF36" i="6" s="1"/>
  <c r="AD29" i="1"/>
  <c r="AD36" i="1" s="1"/>
  <c r="I76" i="1" s="1"/>
  <c r="X15" i="1"/>
  <c r="CD26" i="4"/>
  <c r="BF38" i="3" s="1"/>
  <c r="E196" i="8" s="1"/>
  <c r="E199" i="8" s="1"/>
  <c r="DI30" i="2"/>
  <c r="DI37" i="2" s="1"/>
  <c r="DE59" i="2" s="1"/>
  <c r="F29" i="6"/>
  <c r="F36" i="6" s="1"/>
  <c r="K25" i="1"/>
  <c r="CL29" i="6"/>
  <c r="CL36" i="6" s="1"/>
  <c r="F18" i="1"/>
  <c r="AV29" i="6"/>
  <c r="J29" i="6"/>
  <c r="BZ29" i="6"/>
  <c r="BZ36" i="6" s="1"/>
  <c r="BL22" i="6"/>
  <c r="CS22" i="6" s="1"/>
  <c r="BL26" i="4"/>
  <c r="DE37" i="2"/>
  <c r="DE38" i="2" s="1"/>
  <c r="QE30" i="2"/>
  <c r="QE37" i="2" s="1"/>
  <c r="PM59" i="2" s="1"/>
  <c r="E245" i="8"/>
  <c r="G244" i="8"/>
  <c r="E260" i="8"/>
  <c r="BM30" i="2"/>
  <c r="BM37" i="2" s="1"/>
  <c r="BA59" i="2" s="1"/>
  <c r="F16" i="1"/>
  <c r="BF29" i="6"/>
  <c r="BF36" i="6" s="1"/>
  <c r="AT33" i="6"/>
  <c r="BD29" i="6"/>
  <c r="BD36" i="6" s="1"/>
  <c r="D10" i="11"/>
  <c r="D8" i="11" s="1"/>
  <c r="D37" i="11" s="1"/>
  <c r="H10" i="11"/>
  <c r="BB33" i="6"/>
  <c r="N57" i="1"/>
  <c r="F24" i="1"/>
  <c r="E296" i="8"/>
  <c r="G295" i="8"/>
  <c r="BX26" i="4"/>
  <c r="F213" i="8" l="1"/>
  <c r="F487" i="8" s="1"/>
  <c r="J207" i="8"/>
  <c r="G130" i="8"/>
  <c r="D13" i="16"/>
  <c r="G145" i="8"/>
  <c r="E17" i="16"/>
  <c r="H244" i="8"/>
  <c r="F252" i="8"/>
  <c r="F258" i="8"/>
  <c r="F253" i="8" s="1"/>
  <c r="E252" i="8"/>
  <c r="F187" i="8"/>
  <c r="PA42" i="2"/>
  <c r="NX53" i="2"/>
  <c r="DF61" i="2"/>
  <c r="BC56" i="2"/>
  <c r="BC53" i="2"/>
  <c r="PN53" i="2"/>
  <c r="PN56" i="2"/>
  <c r="AR44" i="1"/>
  <c r="G126" i="8"/>
  <c r="I126" i="8" s="1"/>
  <c r="F278" i="8"/>
  <c r="H126" i="8"/>
  <c r="I125" i="8"/>
  <c r="F127" i="8"/>
  <c r="H127" i="8" s="1"/>
  <c r="AJ36" i="6"/>
  <c r="B25" i="6"/>
  <c r="B21" i="6"/>
  <c r="V36" i="6"/>
  <c r="B28" i="6"/>
  <c r="B26" i="6"/>
  <c r="E278" i="8"/>
  <c r="F370" i="8"/>
  <c r="B23" i="7"/>
  <c r="NV53" i="2"/>
  <c r="EJ42" i="2"/>
  <c r="F350" i="8"/>
  <c r="C32" i="7"/>
  <c r="F82" i="8"/>
  <c r="F84" i="8" s="1"/>
  <c r="SW44" i="2"/>
  <c r="E46" i="8"/>
  <c r="F36" i="8"/>
  <c r="F34" i="8"/>
  <c r="H308" i="8"/>
  <c r="F333" i="8"/>
  <c r="AO31" i="1"/>
  <c r="G206" i="8"/>
  <c r="E209" i="8"/>
  <c r="G199" i="8"/>
  <c r="I199" i="8" s="1"/>
  <c r="H199" i="8"/>
  <c r="F239" i="8"/>
  <c r="F250" i="8"/>
  <c r="E239" i="8"/>
  <c r="E250" i="8"/>
  <c r="G250" i="8" s="1"/>
  <c r="I250" i="8" s="1"/>
  <c r="G308" i="8"/>
  <c r="E285" i="8"/>
  <c r="F285" i="8"/>
  <c r="LJ38" i="2"/>
  <c r="E214" i="8" s="1"/>
  <c r="E217" i="8" s="1"/>
  <c r="F332" i="8"/>
  <c r="H332" i="8" s="1"/>
  <c r="F166" i="8"/>
  <c r="F168" i="8" s="1"/>
  <c r="E12" i="16" s="1"/>
  <c r="CN41" i="2"/>
  <c r="F412" i="8"/>
  <c r="F414" i="8" s="1"/>
  <c r="E22" i="16" s="1"/>
  <c r="DN41" i="2"/>
  <c r="DF53" i="2"/>
  <c r="AE37" i="2"/>
  <c r="C33" i="7"/>
  <c r="AU41" i="2"/>
  <c r="DF41" i="2"/>
  <c r="C25" i="7"/>
  <c r="F409" i="8"/>
  <c r="F411" i="8" s="1"/>
  <c r="F362" i="8"/>
  <c r="F364" i="8" s="1"/>
  <c r="E6" i="16" s="1"/>
  <c r="E297" i="8"/>
  <c r="F296" i="8"/>
  <c r="I283" i="8"/>
  <c r="G257" i="8"/>
  <c r="F89" i="8"/>
  <c r="F75" i="8" s="1"/>
  <c r="F59" i="8"/>
  <c r="F55" i="8" s="1"/>
  <c r="G305" i="8"/>
  <c r="I305" i="8" s="1"/>
  <c r="F406" i="8"/>
  <c r="DE53" i="2"/>
  <c r="DE57" i="2" s="1"/>
  <c r="B25" i="7"/>
  <c r="D38" i="11"/>
  <c r="B34" i="7"/>
  <c r="B46" i="7"/>
  <c r="B47" i="7" s="1"/>
  <c r="EC57" i="2"/>
  <c r="H99" i="8"/>
  <c r="F293" i="8"/>
  <c r="J36" i="6"/>
  <c r="H303" i="8"/>
  <c r="E304" i="8"/>
  <c r="I295" i="8"/>
  <c r="H174" i="8"/>
  <c r="G196" i="8"/>
  <c r="I196" i="8" s="1"/>
  <c r="H196" i="8"/>
  <c r="D494" i="8"/>
  <c r="D489" i="8"/>
  <c r="F79" i="8"/>
  <c r="F81" i="8" s="1"/>
  <c r="F63" i="8"/>
  <c r="G58" i="8"/>
  <c r="G54" i="8" s="1"/>
  <c r="H54" i="8"/>
  <c r="H283" i="8"/>
  <c r="F115" i="8"/>
  <c r="G113" i="8"/>
  <c r="E49" i="8"/>
  <c r="H49" i="8" s="1"/>
  <c r="F190" i="8"/>
  <c r="C31" i="7"/>
  <c r="FX57" i="2"/>
  <c r="G44" i="8"/>
  <c r="H44" i="8"/>
  <c r="F85" i="8"/>
  <c r="E434" i="8"/>
  <c r="G433" i="8"/>
  <c r="AV36" i="6"/>
  <c r="BB36" i="6"/>
  <c r="K23" i="1"/>
  <c r="G429" i="8"/>
  <c r="G430" i="8" s="1"/>
  <c r="I430" i="8" s="1"/>
  <c r="AP38" i="2"/>
  <c r="E412" i="8" s="1"/>
  <c r="G412" i="8" s="1"/>
  <c r="I412" i="8" s="1"/>
  <c r="H47" i="8"/>
  <c r="F165" i="8"/>
  <c r="H426" i="8"/>
  <c r="DE61" i="2"/>
  <c r="OV38" i="2"/>
  <c r="E406" i="8" s="1"/>
  <c r="OV53" i="2"/>
  <c r="OW38" i="2"/>
  <c r="B33" i="7" s="1"/>
  <c r="OW53" i="2"/>
  <c r="BA53" i="2"/>
  <c r="BA56" i="2"/>
  <c r="NW53" i="2"/>
  <c r="DM61" i="2"/>
  <c r="CV57" i="2"/>
  <c r="CQ61" i="2"/>
  <c r="CV61" i="2"/>
  <c r="DU37" i="2"/>
  <c r="DU53" i="2" s="1"/>
  <c r="DU55" i="2"/>
  <c r="CQ57" i="2"/>
  <c r="H305" i="8"/>
  <c r="I432" i="8"/>
  <c r="E386" i="8"/>
  <c r="E387" i="8" s="1"/>
  <c r="H387" i="8" s="1"/>
  <c r="AY29" i="1"/>
  <c r="AY36" i="1" s="1"/>
  <c r="L65" i="1" s="1"/>
  <c r="E48" i="2"/>
  <c r="F365" i="8"/>
  <c r="F366" i="8" s="1"/>
  <c r="H116" i="8"/>
  <c r="F118" i="8"/>
  <c r="H118" i="8" s="1"/>
  <c r="AP12" i="1"/>
  <c r="AP17" i="1"/>
  <c r="AP20" i="1"/>
  <c r="H257" i="8"/>
  <c r="F240" i="8"/>
  <c r="E258" i="8"/>
  <c r="C33" i="6"/>
  <c r="AQ36" i="1"/>
  <c r="AP13" i="1"/>
  <c r="CC36" i="6"/>
  <c r="AP23" i="1"/>
  <c r="AP26" i="1"/>
  <c r="AP19" i="1"/>
  <c r="E37" i="11"/>
  <c r="AP28" i="1"/>
  <c r="AP27" i="1"/>
  <c r="AP16" i="1"/>
  <c r="AP22" i="1"/>
  <c r="AP15" i="1"/>
  <c r="AP32" i="1"/>
  <c r="AP33" i="1" s="1"/>
  <c r="E76" i="1" s="1"/>
  <c r="K22" i="1"/>
  <c r="K16" i="1"/>
  <c r="K12" i="1"/>
  <c r="H145" i="8"/>
  <c r="D509" i="8"/>
  <c r="F341" i="8"/>
  <c r="E340" i="8"/>
  <c r="G340" i="8" s="1"/>
  <c r="I340" i="8" s="1"/>
  <c r="F136" i="8"/>
  <c r="H136" i="8" s="1"/>
  <c r="G120" i="8"/>
  <c r="I120" i="8" s="1"/>
  <c r="H38" i="3"/>
  <c r="H301" i="8"/>
  <c r="E146" i="8"/>
  <c r="H58" i="8"/>
  <c r="H113" i="8"/>
  <c r="E59" i="8"/>
  <c r="E55" i="8" s="1"/>
  <c r="E114" i="8"/>
  <c r="G284" i="8"/>
  <c r="H120" i="8"/>
  <c r="G351" i="8"/>
  <c r="I351" i="8" s="1"/>
  <c r="AJ33" i="1"/>
  <c r="AJ29" i="1"/>
  <c r="G339" i="8"/>
  <c r="I339" i="8" s="1"/>
  <c r="H417" i="8"/>
  <c r="H339" i="8"/>
  <c r="H383" i="8"/>
  <c r="G383" i="8"/>
  <c r="I383" i="8" s="1"/>
  <c r="H295" i="8"/>
  <c r="G301" i="8"/>
  <c r="G249" i="8"/>
  <c r="I249" i="8" s="1"/>
  <c r="B12" i="6"/>
  <c r="E63" i="8"/>
  <c r="N46" i="1"/>
  <c r="F195" i="8"/>
  <c r="E18" i="16" s="1"/>
  <c r="DM38" i="2"/>
  <c r="BB29" i="1"/>
  <c r="BB36" i="1" s="1"/>
  <c r="L76" i="1" s="1"/>
  <c r="K18" i="1"/>
  <c r="K17" i="1"/>
  <c r="BL33" i="6"/>
  <c r="CS33" i="6" s="1"/>
  <c r="BR36" i="6"/>
  <c r="B20" i="6"/>
  <c r="K24" i="1"/>
  <c r="M36" i="1"/>
  <c r="H97" i="8"/>
  <c r="G97" i="8"/>
  <c r="I97" i="8" s="1"/>
  <c r="G18" i="11"/>
  <c r="G12" i="11" s="1"/>
  <c r="H130" i="8"/>
  <c r="E390" i="8"/>
  <c r="H390" i="8" s="1"/>
  <c r="H389" i="8"/>
  <c r="G389" i="8"/>
  <c r="G390" i="8" s="1"/>
  <c r="I390" i="8" s="1"/>
  <c r="K28" i="1"/>
  <c r="K13" i="1"/>
  <c r="B23" i="6"/>
  <c r="E218" i="8"/>
  <c r="L13" i="1"/>
  <c r="AM33" i="1"/>
  <c r="E65" i="1" s="1"/>
  <c r="E68" i="1" s="1"/>
  <c r="L26" i="1"/>
  <c r="L12" i="1"/>
  <c r="AT36" i="6"/>
  <c r="E137" i="8"/>
  <c r="L27" i="1"/>
  <c r="K26" i="1"/>
  <c r="K14" i="1"/>
  <c r="K27" i="1"/>
  <c r="K20" i="1"/>
  <c r="K11" i="1"/>
  <c r="F493" i="8"/>
  <c r="I263" i="8"/>
  <c r="H135" i="8"/>
  <c r="AM29" i="1"/>
  <c r="H65" i="1" s="1"/>
  <c r="H68" i="1" s="1"/>
  <c r="I336" i="8"/>
  <c r="K21" i="1"/>
  <c r="E338" i="8"/>
  <c r="G337" i="8"/>
  <c r="H18" i="11"/>
  <c r="E384" i="8"/>
  <c r="H384" i="8" s="1"/>
  <c r="H247" i="8"/>
  <c r="I303" i="8"/>
  <c r="G141" i="8"/>
  <c r="I141" i="8" s="1"/>
  <c r="I134" i="8"/>
  <c r="G247" i="8"/>
  <c r="I247" i="8" s="1"/>
  <c r="H284" i="8"/>
  <c r="L33" i="1"/>
  <c r="D76" i="1" s="1"/>
  <c r="G321" i="8"/>
  <c r="I321" i="8" s="1"/>
  <c r="I325" i="8"/>
  <c r="H298" i="8"/>
  <c r="G298" i="8"/>
  <c r="I298" i="8" s="1"/>
  <c r="E299" i="8"/>
  <c r="E142" i="8"/>
  <c r="E293" i="8"/>
  <c r="H292" i="8"/>
  <c r="G292" i="8"/>
  <c r="E322" i="8"/>
  <c r="G326" i="8"/>
  <c r="E327" i="8"/>
  <c r="H327" i="8" s="1"/>
  <c r="CB29" i="6"/>
  <c r="CB36" i="6" s="1"/>
  <c r="N55" i="1"/>
  <c r="FU37" i="2"/>
  <c r="FU53" i="2" s="1"/>
  <c r="FU57" i="2" s="1"/>
  <c r="E37" i="2"/>
  <c r="E38" i="2" s="1"/>
  <c r="E45" i="2"/>
  <c r="H433" i="8"/>
  <c r="BL29" i="6"/>
  <c r="CS29" i="6" s="1"/>
  <c r="AG36" i="1"/>
  <c r="F323" i="8"/>
  <c r="F121" i="8"/>
  <c r="AI33" i="1"/>
  <c r="AO32" i="1"/>
  <c r="H337" i="8"/>
  <c r="H62" i="8"/>
  <c r="F322" i="8"/>
  <c r="H326" i="8"/>
  <c r="F338" i="8"/>
  <c r="B22" i="6"/>
  <c r="F434" i="8"/>
  <c r="F418" i="8" s="1"/>
  <c r="G136" i="8"/>
  <c r="I136" i="8" s="1"/>
  <c r="X14" i="1"/>
  <c r="L14" i="1"/>
  <c r="B32" i="6"/>
  <c r="X22" i="1"/>
  <c r="L22" i="1"/>
  <c r="G127" i="8"/>
  <c r="AD37" i="1"/>
  <c r="G368" i="8"/>
  <c r="E369" i="8"/>
  <c r="H369" i="8" s="1"/>
  <c r="H368" i="8"/>
  <c r="E393" i="8"/>
  <c r="H392" i="8"/>
  <c r="G392" i="8"/>
  <c r="L16" i="1"/>
  <c r="H260" i="8"/>
  <c r="G260" i="8"/>
  <c r="E261" i="8"/>
  <c r="I244" i="8"/>
  <c r="E163" i="8"/>
  <c r="B11" i="6"/>
  <c r="X24" i="1"/>
  <c r="F11" i="1"/>
  <c r="G10" i="11"/>
  <c r="G8" i="11" s="1"/>
  <c r="X11" i="1"/>
  <c r="R29" i="1"/>
  <c r="R36" i="1" s="1"/>
  <c r="H98" i="8"/>
  <c r="I307" i="8"/>
  <c r="H307" i="8"/>
  <c r="X16" i="1"/>
  <c r="H245" i="8"/>
  <c r="G245" i="8"/>
  <c r="X18" i="1"/>
  <c r="N50" i="1"/>
  <c r="E19" i="1"/>
  <c r="G296" i="8"/>
  <c r="L24" i="1"/>
  <c r="D33" i="6"/>
  <c r="B31" i="6"/>
  <c r="H8" i="11"/>
  <c r="L18" i="1"/>
  <c r="E246" i="8"/>
  <c r="F189" i="8" l="1"/>
  <c r="F173" i="8"/>
  <c r="I206" i="8"/>
  <c r="DF57" i="2"/>
  <c r="E11" i="16"/>
  <c r="F482" i="8"/>
  <c r="E20" i="16"/>
  <c r="H46" i="8"/>
  <c r="D17" i="16"/>
  <c r="I130" i="8"/>
  <c r="F13" i="16"/>
  <c r="I145" i="8"/>
  <c r="G252" i="8"/>
  <c r="I252" i="8" s="1"/>
  <c r="E253" i="8"/>
  <c r="H253" i="8" s="1"/>
  <c r="F367" i="8"/>
  <c r="H304" i="8"/>
  <c r="F74" i="8"/>
  <c r="G209" i="8"/>
  <c r="NU53" i="2"/>
  <c r="I127" i="8"/>
  <c r="G146" i="8"/>
  <c r="G278" i="8"/>
  <c r="E279" i="8"/>
  <c r="F279" i="8"/>
  <c r="G297" i="8"/>
  <c r="I301" i="8"/>
  <c r="I308" i="8"/>
  <c r="H252" i="8"/>
  <c r="F297" i="8"/>
  <c r="H297" i="8" s="1"/>
  <c r="F351" i="8"/>
  <c r="H350" i="8"/>
  <c r="F399" i="8"/>
  <c r="G434" i="8"/>
  <c r="G418" i="8" s="1"/>
  <c r="E418" i="8"/>
  <c r="L68" i="1"/>
  <c r="C65" i="1"/>
  <c r="C68" i="1" s="1"/>
  <c r="F161" i="8"/>
  <c r="I44" i="8"/>
  <c r="AO33" i="1"/>
  <c r="E74" i="1" s="1"/>
  <c r="G46" i="8"/>
  <c r="F159" i="8"/>
  <c r="F334" i="8"/>
  <c r="H218" i="8"/>
  <c r="E221" i="8"/>
  <c r="H217" i="8"/>
  <c r="G217" i="8"/>
  <c r="I217" i="8" s="1"/>
  <c r="H239" i="8"/>
  <c r="F209" i="8"/>
  <c r="G210" i="8"/>
  <c r="E213" i="8"/>
  <c r="H285" i="8"/>
  <c r="G333" i="8"/>
  <c r="I333" i="8" s="1"/>
  <c r="H250" i="8"/>
  <c r="G285" i="8"/>
  <c r="I285" i="8" s="1"/>
  <c r="F90" i="8"/>
  <c r="H214" i="8"/>
  <c r="G214" i="8"/>
  <c r="I214" i="8" s="1"/>
  <c r="H296" i="8"/>
  <c r="H210" i="8"/>
  <c r="I257" i="8"/>
  <c r="E408" i="8"/>
  <c r="F408" i="8"/>
  <c r="G332" i="8"/>
  <c r="I332" i="8" s="1"/>
  <c r="E333" i="8"/>
  <c r="H333" i="8" s="1"/>
  <c r="G258" i="8"/>
  <c r="I284" i="8"/>
  <c r="H258" i="8"/>
  <c r="F60" i="8"/>
  <c r="F56" i="8" s="1"/>
  <c r="H261" i="8"/>
  <c r="E241" i="8"/>
  <c r="G208" i="8"/>
  <c r="H206" i="8"/>
  <c r="F294" i="8"/>
  <c r="E240" i="8"/>
  <c r="G239" i="8"/>
  <c r="I292" i="8"/>
  <c r="G304" i="8"/>
  <c r="I304" i="8" s="1"/>
  <c r="G197" i="8"/>
  <c r="G174" i="8" s="1"/>
  <c r="H197" i="8"/>
  <c r="G406" i="8"/>
  <c r="F192" i="8"/>
  <c r="G231" i="8"/>
  <c r="G49" i="8"/>
  <c r="I49" i="8" s="1"/>
  <c r="I433" i="8"/>
  <c r="F87" i="8"/>
  <c r="E23" i="16" s="1"/>
  <c r="H429" i="8"/>
  <c r="E60" i="8"/>
  <c r="E56" i="8" s="1"/>
  <c r="H55" i="8"/>
  <c r="I58" i="8"/>
  <c r="I54" i="8"/>
  <c r="H431" i="8"/>
  <c r="E115" i="8"/>
  <c r="H115" i="8" s="1"/>
  <c r="I113" i="8"/>
  <c r="H412" i="8"/>
  <c r="E414" i="8"/>
  <c r="E409" i="8"/>
  <c r="E399" i="8" s="1"/>
  <c r="G426" i="8"/>
  <c r="G416" i="8" s="1"/>
  <c r="H406" i="8"/>
  <c r="H428" i="8"/>
  <c r="H416" i="8"/>
  <c r="H12" i="11"/>
  <c r="DM53" i="2"/>
  <c r="DM57" i="2" s="1"/>
  <c r="DU57" i="2"/>
  <c r="G386" i="8"/>
  <c r="I386" i="8" s="1"/>
  <c r="H386" i="8"/>
  <c r="G384" i="8"/>
  <c r="I384" i="8" s="1"/>
  <c r="F241" i="8"/>
  <c r="F242" i="8" s="1"/>
  <c r="CB37" i="6"/>
  <c r="CC37" i="6"/>
  <c r="AP29" i="1"/>
  <c r="H76" i="1" s="1"/>
  <c r="C76" i="1" s="1"/>
  <c r="I18" i="11"/>
  <c r="I12" i="11"/>
  <c r="E166" i="8"/>
  <c r="G166" i="8" s="1"/>
  <c r="I166" i="8" s="1"/>
  <c r="AJ36" i="1"/>
  <c r="H340" i="8"/>
  <c r="E341" i="8"/>
  <c r="G341" i="8" s="1"/>
  <c r="I341" i="8" s="1"/>
  <c r="G248" i="8"/>
  <c r="I248" i="8" s="1"/>
  <c r="G114" i="8"/>
  <c r="H231" i="8"/>
  <c r="H114" i="8"/>
  <c r="G59" i="8"/>
  <c r="G55" i="8" s="1"/>
  <c r="H59" i="8"/>
  <c r="E148" i="8"/>
  <c r="H146" i="8"/>
  <c r="G63" i="8"/>
  <c r="I63" i="8" s="1"/>
  <c r="H63" i="8"/>
  <c r="H434" i="8"/>
  <c r="H248" i="8"/>
  <c r="AM36" i="1"/>
  <c r="G220" i="8"/>
  <c r="G218" i="8"/>
  <c r="BL36" i="6"/>
  <c r="I389" i="8"/>
  <c r="E391" i="8"/>
  <c r="G391" i="8" s="1"/>
  <c r="I391" i="8" s="1"/>
  <c r="E365" i="8"/>
  <c r="E366" i="8" s="1"/>
  <c r="H366" i="8" s="1"/>
  <c r="G207" i="8"/>
  <c r="E138" i="8"/>
  <c r="H137" i="8"/>
  <c r="G137" i="8"/>
  <c r="G338" i="8"/>
  <c r="I337" i="8"/>
  <c r="E385" i="8"/>
  <c r="B33" i="6"/>
  <c r="G327" i="8"/>
  <c r="E323" i="8"/>
  <c r="H323" i="8" s="1"/>
  <c r="H322" i="8"/>
  <c r="I429" i="8"/>
  <c r="I431" i="8"/>
  <c r="E294" i="8"/>
  <c r="G293" i="8"/>
  <c r="H293" i="8"/>
  <c r="G299" i="8"/>
  <c r="I299" i="8" s="1"/>
  <c r="H299" i="8"/>
  <c r="I326" i="8"/>
  <c r="G142" i="8"/>
  <c r="I142" i="8" s="1"/>
  <c r="H142" i="8"/>
  <c r="E31" i="1"/>
  <c r="E300" i="8"/>
  <c r="E49" i="2"/>
  <c r="H121" i="8"/>
  <c r="H338" i="8"/>
  <c r="E370" i="8"/>
  <c r="H370" i="8" s="1"/>
  <c r="E388" i="8"/>
  <c r="G369" i="8"/>
  <c r="I369" i="8" s="1"/>
  <c r="I368" i="8"/>
  <c r="I392" i="8"/>
  <c r="G393" i="8"/>
  <c r="I393" i="8" s="1"/>
  <c r="E394" i="8"/>
  <c r="H393" i="8"/>
  <c r="G246" i="8"/>
  <c r="G241" i="8" s="1"/>
  <c r="H246" i="8"/>
  <c r="I10" i="11"/>
  <c r="L11" i="1"/>
  <c r="F29" i="1"/>
  <c r="F36" i="1" s="1"/>
  <c r="E165" i="8"/>
  <c r="G163" i="8"/>
  <c r="H163" i="8"/>
  <c r="X29" i="1"/>
  <c r="X36" i="1" s="1"/>
  <c r="K76" i="1" s="1"/>
  <c r="I296" i="8"/>
  <c r="K19" i="1"/>
  <c r="E29" i="1"/>
  <c r="H211" i="8"/>
  <c r="I245" i="8"/>
  <c r="I260" i="8"/>
  <c r="G261" i="8"/>
  <c r="I209" i="8" l="1"/>
  <c r="F175" i="8"/>
  <c r="F176" i="8" s="1"/>
  <c r="I220" i="8"/>
  <c r="D11" i="16"/>
  <c r="E482" i="8"/>
  <c r="G148" i="8"/>
  <c r="D14" i="16"/>
  <c r="G414" i="8"/>
  <c r="D22" i="16"/>
  <c r="E19" i="16"/>
  <c r="F401" i="8"/>
  <c r="E21" i="16"/>
  <c r="F17" i="16"/>
  <c r="E242" i="8"/>
  <c r="H242" i="8" s="1"/>
  <c r="I258" i="8"/>
  <c r="G253" i="8"/>
  <c r="I253" i="8" s="1"/>
  <c r="E487" i="8"/>
  <c r="I208" i="8"/>
  <c r="F76" i="8"/>
  <c r="F77" i="8" s="1"/>
  <c r="H213" i="8"/>
  <c r="I146" i="8"/>
  <c r="H209" i="8"/>
  <c r="I434" i="8"/>
  <c r="F280" i="8"/>
  <c r="F281" i="8" s="1"/>
  <c r="H254" i="8"/>
  <c r="G279" i="8"/>
  <c r="I279" i="8" s="1"/>
  <c r="E280" i="8"/>
  <c r="E281" i="8" s="1"/>
  <c r="I261" i="8"/>
  <c r="I297" i="8"/>
  <c r="F352" i="8"/>
  <c r="H352" i="8" s="1"/>
  <c r="H351" i="8"/>
  <c r="G408" i="8"/>
  <c r="AP36" i="1"/>
  <c r="I46" i="8"/>
  <c r="I278" i="8"/>
  <c r="I218" i="8"/>
  <c r="G221" i="8"/>
  <c r="H221" i="8"/>
  <c r="I210" i="8"/>
  <c r="G213" i="8"/>
  <c r="I239" i="8"/>
  <c r="I428" i="8"/>
  <c r="G427" i="8"/>
  <c r="G417" i="8" s="1"/>
  <c r="G334" i="8"/>
  <c r="I334" i="8" s="1"/>
  <c r="H215" i="8"/>
  <c r="G215" i="8"/>
  <c r="I215" i="8" s="1"/>
  <c r="H279" i="8"/>
  <c r="H408" i="8"/>
  <c r="I406" i="8"/>
  <c r="E334" i="8"/>
  <c r="H334" i="8" s="1"/>
  <c r="H399" i="8"/>
  <c r="I207" i="8"/>
  <c r="G37" i="11"/>
  <c r="H207" i="8"/>
  <c r="I197" i="8"/>
  <c r="I174" i="8"/>
  <c r="G240" i="8"/>
  <c r="I240" i="8" s="1"/>
  <c r="H60" i="8"/>
  <c r="H56" i="8"/>
  <c r="I293" i="8"/>
  <c r="H278" i="8"/>
  <c r="I231" i="8"/>
  <c r="I426" i="8"/>
  <c r="H414" i="8"/>
  <c r="G60" i="8"/>
  <c r="G56" i="8" s="1"/>
  <c r="I59" i="8"/>
  <c r="I55" i="8"/>
  <c r="H418" i="8"/>
  <c r="G115" i="8"/>
  <c r="I114" i="8"/>
  <c r="G409" i="8"/>
  <c r="I409" i="8" s="1"/>
  <c r="H409" i="8"/>
  <c r="E411" i="8"/>
  <c r="H411" i="8" s="1"/>
  <c r="CS36" i="6"/>
  <c r="I416" i="8"/>
  <c r="I418" i="8"/>
  <c r="G387" i="8"/>
  <c r="H249" i="8"/>
  <c r="H166" i="8"/>
  <c r="E168" i="8"/>
  <c r="H241" i="8"/>
  <c r="H240" i="8"/>
  <c r="H341" i="8"/>
  <c r="H148" i="8"/>
  <c r="BL37" i="6"/>
  <c r="H365" i="8"/>
  <c r="H391" i="8"/>
  <c r="H219" i="8"/>
  <c r="H220" i="8"/>
  <c r="G219" i="8"/>
  <c r="G365" i="8"/>
  <c r="G366" i="8" s="1"/>
  <c r="I366" i="8" s="1"/>
  <c r="H138" i="8"/>
  <c r="E139" i="8"/>
  <c r="G138" i="8"/>
  <c r="I137" i="8"/>
  <c r="H37" i="11"/>
  <c r="I338" i="8"/>
  <c r="H385" i="8"/>
  <c r="G385" i="8"/>
  <c r="I385" i="8" s="1"/>
  <c r="E33" i="1"/>
  <c r="E36" i="1" s="1"/>
  <c r="K31" i="1"/>
  <c r="K33" i="1" s="1"/>
  <c r="D74" i="1" s="1"/>
  <c r="I327" i="8"/>
  <c r="H300" i="8"/>
  <c r="G300" i="8"/>
  <c r="G294" i="8"/>
  <c r="H294" i="8"/>
  <c r="G370" i="8"/>
  <c r="I370" i="8" s="1"/>
  <c r="E367" i="8"/>
  <c r="H388" i="8"/>
  <c r="G388" i="8"/>
  <c r="G394" i="8"/>
  <c r="I394" i="8" s="1"/>
  <c r="H394" i="8"/>
  <c r="H212" i="8"/>
  <c r="K29" i="1"/>
  <c r="F74" i="1" s="1"/>
  <c r="I163" i="8"/>
  <c r="I8" i="11"/>
  <c r="I246" i="8"/>
  <c r="I241" i="8"/>
  <c r="L29" i="1"/>
  <c r="F76" i="1" s="1"/>
  <c r="B76" i="1" s="1"/>
  <c r="H165" i="8"/>
  <c r="G165" i="8"/>
  <c r="F11" i="16" l="1"/>
  <c r="G482" i="8"/>
  <c r="E26" i="16"/>
  <c r="I148" i="8"/>
  <c r="F14" i="16"/>
  <c r="D21" i="16"/>
  <c r="I408" i="8"/>
  <c r="I414" i="8"/>
  <c r="F22" i="16"/>
  <c r="G168" i="8"/>
  <c r="D12" i="16"/>
  <c r="G487" i="8"/>
  <c r="G202" i="8"/>
  <c r="I213" i="8"/>
  <c r="G280" i="8"/>
  <c r="G281" i="8" s="1"/>
  <c r="I254" i="8"/>
  <c r="I300" i="8"/>
  <c r="I219" i="8"/>
  <c r="E401" i="8"/>
  <c r="H401" i="8" s="1"/>
  <c r="G399" i="8"/>
  <c r="I399" i="8" s="1"/>
  <c r="B74" i="1"/>
  <c r="L36" i="1"/>
  <c r="I221" i="8"/>
  <c r="G242" i="8"/>
  <c r="I242" i="8" s="1"/>
  <c r="I427" i="8"/>
  <c r="I417" i="8"/>
  <c r="G216" i="8"/>
  <c r="H216" i="8"/>
  <c r="I211" i="8"/>
  <c r="I387" i="8"/>
  <c r="I388" i="8"/>
  <c r="H202" i="8"/>
  <c r="H208" i="8"/>
  <c r="H280" i="8"/>
  <c r="I294" i="8"/>
  <c r="I60" i="8"/>
  <c r="I56" i="8"/>
  <c r="I115" i="8"/>
  <c r="G411" i="8"/>
  <c r="G401" i="8" s="1"/>
  <c r="H168" i="8"/>
  <c r="I212" i="8"/>
  <c r="I365" i="8"/>
  <c r="I37" i="11"/>
  <c r="I138" i="8"/>
  <c r="H139" i="8"/>
  <c r="G139" i="8"/>
  <c r="K36" i="1"/>
  <c r="H367" i="8"/>
  <c r="G367" i="8"/>
  <c r="I367" i="8" s="1"/>
  <c r="I165" i="8"/>
  <c r="F21" i="16" l="1"/>
  <c r="I168" i="8"/>
  <c r="F12" i="16"/>
  <c r="I216" i="8"/>
  <c r="G203" i="8"/>
  <c r="I401" i="8"/>
  <c r="I202" i="8"/>
  <c r="H203" i="8"/>
  <c r="I280" i="8"/>
  <c r="I281" i="8"/>
  <c r="H281" i="8"/>
  <c r="I411" i="8"/>
  <c r="E20" i="9"/>
  <c r="I139" i="8"/>
  <c r="I203" i="8" l="1"/>
  <c r="H26" i="4" l="1"/>
  <c r="P36" i="3" s="1"/>
  <c r="K26" i="4" l="1"/>
  <c r="I26" i="4"/>
  <c r="Q36" i="3" s="1"/>
  <c r="J26" i="4"/>
  <c r="P38" i="3"/>
  <c r="E359" i="8" s="1"/>
  <c r="Q38" i="3" l="1"/>
  <c r="F359" i="8" s="1"/>
  <c r="E360" i="8"/>
  <c r="G359" i="8"/>
  <c r="E361" i="8" l="1"/>
  <c r="Q40" i="3"/>
  <c r="F360" i="8"/>
  <c r="H359" i="8"/>
  <c r="G360" i="8"/>
  <c r="I359" i="8"/>
  <c r="G361" i="8" l="1"/>
  <c r="H360" i="8"/>
  <c r="F361" i="8"/>
  <c r="I360" i="8"/>
  <c r="I361" i="8" l="1"/>
  <c r="H361" i="8"/>
  <c r="H439" i="8" l="1"/>
  <c r="H441" i="8" l="1"/>
  <c r="I439" i="8"/>
  <c r="H440" i="8"/>
  <c r="I440" i="8" l="1"/>
  <c r="I441" i="8"/>
  <c r="D323" i="8" l="1"/>
  <c r="D329" i="8"/>
  <c r="G330" i="8"/>
  <c r="G329" i="8" l="1"/>
  <c r="G513" i="8" s="1"/>
  <c r="I513" i="8" s="1"/>
  <c r="D513" i="8"/>
  <c r="G323" i="8"/>
  <c r="G514" i="8"/>
  <c r="I330" i="8"/>
  <c r="D322" i="8"/>
  <c r="I514" i="8" l="1"/>
  <c r="F8" i="16"/>
  <c r="I323" i="8"/>
  <c r="I329" i="8"/>
  <c r="G322" i="8"/>
  <c r="I322" i="8" l="1"/>
  <c r="G99" i="8" l="1"/>
  <c r="F25" i="16" s="1"/>
  <c r="D98" i="8"/>
  <c r="D75" i="8" s="1"/>
  <c r="D77" i="8" s="1"/>
  <c r="D464" i="8" s="1"/>
  <c r="D463" i="8"/>
  <c r="C27" i="16" s="1"/>
  <c r="B17" i="15" l="1"/>
  <c r="D472" i="8"/>
  <c r="I99" i="8"/>
  <c r="D462" i="8"/>
  <c r="D468" i="8" s="1"/>
  <c r="G98" i="8"/>
  <c r="D470" i="8"/>
  <c r="B16" i="15"/>
  <c r="I98" i="8" l="1"/>
  <c r="B15" i="15"/>
  <c r="D465" i="8"/>
  <c r="CA27" i="6" l="1"/>
  <c r="BM27" i="6" s="1"/>
  <c r="CA16" i="6"/>
  <c r="BM16" i="6" s="1"/>
  <c r="CA26" i="6"/>
  <c r="BM26" i="6" s="1"/>
  <c r="CA24" i="6"/>
  <c r="BM24" i="6" s="1"/>
  <c r="CA20" i="6"/>
  <c r="BM20" i="6" s="1"/>
  <c r="CA28" i="6"/>
  <c r="BM28" i="6" s="1"/>
  <c r="CA25" i="6"/>
  <c r="BM25" i="6" s="1"/>
  <c r="CA18" i="6"/>
  <c r="BM18" i="6" s="1"/>
  <c r="CA13" i="6"/>
  <c r="BM13" i="6" s="1"/>
  <c r="CA22" i="6"/>
  <c r="BM22" i="6" s="1"/>
  <c r="CA12" i="6"/>
  <c r="BM12" i="6" s="1"/>
  <c r="CA23" i="6"/>
  <c r="BM23" i="6" s="1"/>
  <c r="CA19" i="6"/>
  <c r="BM19" i="6" s="1"/>
  <c r="CA15" i="6"/>
  <c r="BM15" i="6" s="1"/>
  <c r="CA21" i="6"/>
  <c r="BM21" i="6" s="1"/>
  <c r="CA14" i="6"/>
  <c r="BM14" i="6" s="1"/>
  <c r="SV30" i="2"/>
  <c r="SV37" i="2" s="1"/>
  <c r="SV38" i="2" s="1"/>
  <c r="ST22" i="2"/>
  <c r="AI21" i="1"/>
  <c r="ST17" i="2"/>
  <c r="ST16" i="2"/>
  <c r="ST28" i="2"/>
  <c r="ST19" i="2"/>
  <c r="ST21" i="2"/>
  <c r="ST20" i="2"/>
  <c r="ST27" i="2"/>
  <c r="ST29" i="2"/>
  <c r="ST25" i="2"/>
  <c r="ST23" i="2"/>
  <c r="CA17" i="6"/>
  <c r="BM17" i="6" s="1"/>
  <c r="ST24" i="2"/>
  <c r="ST13" i="2"/>
  <c r="ST18" i="2"/>
  <c r="ST26" i="2"/>
  <c r="ST15" i="2"/>
  <c r="CA11" i="6"/>
  <c r="BM11" i="6" s="1"/>
  <c r="ST14" i="2"/>
  <c r="ST12" i="2"/>
  <c r="RV39" i="2" l="1"/>
  <c r="AI15" i="1"/>
  <c r="ST30" i="2"/>
  <c r="ST37" i="2" s="1"/>
  <c r="RT49" i="2" s="1"/>
  <c r="RT50" i="2" s="1"/>
  <c r="AI14" i="1"/>
  <c r="AI17" i="1"/>
  <c r="AI23" i="1"/>
  <c r="AI22" i="1"/>
  <c r="AI28" i="1"/>
  <c r="AI20" i="1"/>
  <c r="CT21" i="6"/>
  <c r="C21" i="6"/>
  <c r="CT12" i="6"/>
  <c r="C12" i="6"/>
  <c r="C25" i="6"/>
  <c r="CT25" i="6"/>
  <c r="C26" i="6"/>
  <c r="CT26" i="6"/>
  <c r="CT11" i="6"/>
  <c r="C11" i="6"/>
  <c r="BM29" i="6"/>
  <c r="AI16" i="1"/>
  <c r="AI19" i="1"/>
  <c r="CT23" i="6"/>
  <c r="C23" i="6"/>
  <c r="CT18" i="6"/>
  <c r="C24" i="6"/>
  <c r="CT24" i="6"/>
  <c r="AI25" i="1"/>
  <c r="AI24" i="1"/>
  <c r="AI26" i="1"/>
  <c r="AO21" i="1"/>
  <c r="CT14" i="6"/>
  <c r="C14" i="6"/>
  <c r="CT19" i="6"/>
  <c r="CT13" i="6"/>
  <c r="C20" i="6"/>
  <c r="CT20" i="6"/>
  <c r="C27" i="6"/>
  <c r="CT27" i="6"/>
  <c r="AI12" i="1"/>
  <c r="AI13" i="1"/>
  <c r="AI27" i="1"/>
  <c r="AI18" i="1"/>
  <c r="C44" i="7"/>
  <c r="C47" i="7" s="1"/>
  <c r="CT15" i="6"/>
  <c r="CT22" i="6"/>
  <c r="C22" i="6"/>
  <c r="C28" i="6"/>
  <c r="CT28" i="6"/>
  <c r="C16" i="6"/>
  <c r="CT16" i="6"/>
  <c r="CA29" i="6"/>
  <c r="CA36" i="6" s="1"/>
  <c r="C17" i="6"/>
  <c r="CT17" i="6"/>
  <c r="AO15" i="1" l="1"/>
  <c r="AO13" i="1"/>
  <c r="AO25" i="1"/>
  <c r="AO19" i="1"/>
  <c r="CT29" i="6"/>
  <c r="BM36" i="6"/>
  <c r="AO28" i="1"/>
  <c r="AO26" i="1"/>
  <c r="AO20" i="1"/>
  <c r="AO23" i="1"/>
  <c r="AO14" i="1"/>
  <c r="AI11" i="1"/>
  <c r="AO18" i="1"/>
  <c r="AO24" i="1"/>
  <c r="AO16" i="1"/>
  <c r="AO17" i="1"/>
  <c r="AO27" i="1"/>
  <c r="AO12" i="1"/>
  <c r="AO22" i="1"/>
  <c r="AI29" i="1" l="1"/>
  <c r="AI36" i="1" s="1"/>
  <c r="AO11" i="1"/>
  <c r="BM37" i="6"/>
  <c r="CT36" i="6"/>
  <c r="RV47" i="2"/>
  <c r="RV51" i="2" l="1"/>
  <c r="AO29" i="1"/>
  <c r="AO36" i="1" l="1"/>
  <c r="H74" i="1"/>
  <c r="C74" i="1" s="1"/>
  <c r="EP12" i="2" l="1"/>
  <c r="EK30" i="2" l="1"/>
  <c r="EK37" i="2" s="1"/>
  <c r="EO26" i="2"/>
  <c r="EO18" i="2"/>
  <c r="EO16" i="2"/>
  <c r="EO28" i="2"/>
  <c r="EO22" i="2"/>
  <c r="EO14" i="2"/>
  <c r="EO29" i="2"/>
  <c r="EO19" i="2"/>
  <c r="EO21" i="2"/>
  <c r="EO15" i="2"/>
  <c r="EO20" i="2"/>
  <c r="EO17" i="2"/>
  <c r="EO27" i="2"/>
  <c r="EO24" i="2"/>
  <c r="EO23" i="2"/>
  <c r="EO25" i="2"/>
  <c r="EO13" i="2"/>
  <c r="N48" i="1" l="1"/>
  <c r="EO30" i="2"/>
  <c r="EO37" i="2" s="1"/>
  <c r="EM30" i="2" l="1"/>
  <c r="EM37" i="2" s="1"/>
  <c r="EP26" i="2"/>
  <c r="EP15" i="2"/>
  <c r="EP25" i="2"/>
  <c r="EP14" i="2"/>
  <c r="EP27" i="2"/>
  <c r="EP21" i="2"/>
  <c r="EP22" i="2"/>
  <c r="EP28" i="2"/>
  <c r="EP29" i="2"/>
  <c r="EP19" i="2"/>
  <c r="EP20" i="2"/>
  <c r="EP17" i="2"/>
  <c r="EP16" i="2"/>
  <c r="EP24" i="2"/>
  <c r="EP23" i="2"/>
  <c r="EP18" i="2"/>
  <c r="EP13" i="2"/>
  <c r="AR48" i="1" l="1"/>
  <c r="EP30" i="2"/>
  <c r="EP37" i="2" s="1"/>
  <c r="OG30" i="2" l="1"/>
  <c r="OG37" i="2" s="1"/>
  <c r="OA30" i="2"/>
  <c r="N44" i="1" l="1"/>
  <c r="OA37" i="2"/>
  <c r="NU30" i="2" l="1"/>
  <c r="BF16" i="1" l="1"/>
  <c r="BF25" i="1"/>
  <c r="BF23" i="1"/>
  <c r="BF20" i="1"/>
  <c r="BD20" i="1" s="1"/>
  <c r="BF19" i="1"/>
  <c r="BD19" i="1" s="1"/>
  <c r="BF22" i="1"/>
  <c r="BD22" i="1" s="1"/>
  <c r="BF15" i="1"/>
  <c r="BD15" i="1" s="1"/>
  <c r="BF12" i="1"/>
  <c r="BD12" i="1" s="1"/>
  <c r="BF18" i="1"/>
  <c r="BF26" i="1"/>
  <c r="BF11" i="1"/>
  <c r="BF17" i="1"/>
  <c r="BD17" i="1" s="1"/>
  <c r="BF14" i="1"/>
  <c r="BD14" i="1" s="1"/>
  <c r="BF28" i="1"/>
  <c r="BD28" i="1" s="1"/>
  <c r="BF27" i="1"/>
  <c r="BD27" i="1" s="1"/>
  <c r="BF24" i="1"/>
  <c r="BD24" i="1" s="1"/>
  <c r="BD11" i="1" l="1"/>
  <c r="BD18" i="1"/>
  <c r="BD25" i="1"/>
  <c r="BD16" i="1"/>
  <c r="BD26" i="1"/>
  <c r="BD23" i="1"/>
  <c r="OZ61" i="2" l="1"/>
  <c r="OS61" i="2"/>
  <c r="OS57" i="2"/>
  <c r="OZ57" i="2"/>
  <c r="AV61" i="2"/>
  <c r="AV57" i="2" l="1"/>
  <c r="BB57" i="2"/>
  <c r="NU34" i="2" l="1"/>
  <c r="NU37" i="2" s="1"/>
  <c r="NU38" i="2" s="1"/>
  <c r="NX38" i="2" l="1"/>
  <c r="E55" i="2" l="1"/>
  <c r="E72" i="1" s="1"/>
  <c r="AR57" i="2" l="1"/>
  <c r="NX57" i="2"/>
  <c r="AP57" i="2" s="1"/>
  <c r="NU57" i="2"/>
  <c r="AR61" i="2"/>
  <c r="NX61" i="2"/>
  <c r="AP61" i="2" s="1"/>
  <c r="NU61" i="2"/>
  <c r="AL57" i="2" l="1"/>
  <c r="AL61" i="2"/>
  <c r="H456" i="8" l="1"/>
  <c r="G456" i="8"/>
  <c r="F455" i="8"/>
  <c r="I456" i="8" l="1"/>
  <c r="F15" i="16"/>
  <c r="E12" i="9" l="1"/>
  <c r="D12" i="9" s="1"/>
  <c r="E11" i="9"/>
  <c r="D11" i="9" s="1"/>
  <c r="E10" i="9"/>
  <c r="D10" i="9" s="1"/>
  <c r="E9" i="9"/>
  <c r="D9" i="9" l="1"/>
  <c r="D15" i="9" s="1"/>
  <c r="E15" i="9"/>
  <c r="H12" i="2" l="1"/>
  <c r="L12" i="2"/>
  <c r="N12" i="2"/>
  <c r="T12" i="2"/>
  <c r="H13" i="2"/>
  <c r="L13" i="2"/>
  <c r="N13" i="2"/>
  <c r="P13" i="2"/>
  <c r="T13" i="2"/>
  <c r="H14" i="2"/>
  <c r="L14" i="2"/>
  <c r="N14" i="2"/>
  <c r="P14" i="2"/>
  <c r="T14" i="2"/>
  <c r="H15" i="2"/>
  <c r="L15" i="2"/>
  <c r="N15" i="2"/>
  <c r="T15" i="2"/>
  <c r="H16" i="2"/>
  <c r="L16" i="2"/>
  <c r="N16" i="2"/>
  <c r="T16" i="2"/>
  <c r="H17" i="2"/>
  <c r="L17" i="2"/>
  <c r="N17" i="2"/>
  <c r="T17" i="2"/>
  <c r="AA16" i="1" s="1"/>
  <c r="Z16" i="1" s="1"/>
  <c r="H18" i="2"/>
  <c r="L18" i="2"/>
  <c r="N18" i="2"/>
  <c r="T18" i="2"/>
  <c r="AA17" i="1" s="1"/>
  <c r="Z17" i="1" s="1"/>
  <c r="H19" i="2"/>
  <c r="L19" i="2"/>
  <c r="N19" i="2"/>
  <c r="P19" i="2"/>
  <c r="T19" i="2"/>
  <c r="H20" i="2"/>
  <c r="L20" i="2"/>
  <c r="N20" i="2"/>
  <c r="T20" i="2"/>
  <c r="H21" i="2"/>
  <c r="L21" i="2"/>
  <c r="N21" i="2"/>
  <c r="P21" i="2"/>
  <c r="T21" i="2"/>
  <c r="H22" i="2"/>
  <c r="L22" i="2"/>
  <c r="N22" i="2"/>
  <c r="T22" i="2"/>
  <c r="H23" i="2"/>
  <c r="L23" i="2"/>
  <c r="N23" i="2"/>
  <c r="T23" i="2"/>
  <c r="H24" i="2"/>
  <c r="L24" i="2"/>
  <c r="N24" i="2"/>
  <c r="P24" i="2"/>
  <c r="T24" i="2"/>
  <c r="H25" i="2"/>
  <c r="L25" i="2"/>
  <c r="N25" i="2"/>
  <c r="T25" i="2"/>
  <c r="H26" i="2"/>
  <c r="L26" i="2"/>
  <c r="N26" i="2"/>
  <c r="T26" i="2"/>
  <c r="H27" i="2"/>
  <c r="L27" i="2"/>
  <c r="N27" i="2"/>
  <c r="T27" i="2"/>
  <c r="H28" i="2"/>
  <c r="L28" i="2"/>
  <c r="N28" i="2"/>
  <c r="T28" i="2"/>
  <c r="H29" i="2"/>
  <c r="L29" i="2"/>
  <c r="N29" i="2"/>
  <c r="P29" i="2"/>
  <c r="T29" i="2"/>
  <c r="F32" i="2"/>
  <c r="N32" i="2"/>
  <c r="F33" i="2"/>
  <c r="N33" i="2"/>
  <c r="AA21" i="1" l="1"/>
  <c r="AA28" i="1"/>
  <c r="Z28" i="1" s="1"/>
  <c r="AA20" i="1"/>
  <c r="Z20" i="1" s="1"/>
  <c r="AA13" i="1"/>
  <c r="AA12" i="1"/>
  <c r="AA25" i="1"/>
  <c r="Z25" i="1" s="1"/>
  <c r="AA24" i="1"/>
  <c r="Z24" i="1" s="1"/>
  <c r="AA27" i="1"/>
  <c r="Z27" i="1" s="1"/>
  <c r="AA23" i="1"/>
  <c r="Z23" i="1" s="1"/>
  <c r="D33" i="2"/>
  <c r="C32" i="1" s="1"/>
  <c r="J21" i="2"/>
  <c r="J17" i="2"/>
  <c r="J13" i="2"/>
  <c r="J22" i="2"/>
  <c r="J18" i="2"/>
  <c r="J14" i="2"/>
  <c r="F34" i="2"/>
  <c r="D66" i="1" s="1"/>
  <c r="AA26" i="1"/>
  <c r="AA22" i="1"/>
  <c r="Z22" i="1" s="1"/>
  <c r="O23" i="1"/>
  <c r="R24" i="2"/>
  <c r="F29" i="2"/>
  <c r="J26" i="2"/>
  <c r="F25" i="2"/>
  <c r="F21" i="2"/>
  <c r="F17" i="2"/>
  <c r="F13" i="2"/>
  <c r="D13" i="2" s="1"/>
  <c r="L30" i="2"/>
  <c r="L37" i="2" s="1"/>
  <c r="I66" i="1" s="1"/>
  <c r="O18" i="1"/>
  <c r="R19" i="2"/>
  <c r="J29" i="2"/>
  <c r="F28" i="2"/>
  <c r="J25" i="2"/>
  <c r="F24" i="2"/>
  <c r="F20" i="2"/>
  <c r="F16" i="2"/>
  <c r="F12" i="2"/>
  <c r="AA11" i="1"/>
  <c r="T30" i="2"/>
  <c r="J12" i="2"/>
  <c r="H30" i="2"/>
  <c r="H37" i="2" s="1"/>
  <c r="J28" i="2"/>
  <c r="F27" i="2"/>
  <c r="J24" i="2"/>
  <c r="F23" i="2"/>
  <c r="AA19" i="1"/>
  <c r="Z19" i="1" s="1"/>
  <c r="J20" i="2"/>
  <c r="F19" i="2"/>
  <c r="AA15" i="1"/>
  <c r="Z15" i="1" s="1"/>
  <c r="J16" i="2"/>
  <c r="F15" i="2"/>
  <c r="R29" i="2"/>
  <c r="O28" i="1"/>
  <c r="O20" i="1"/>
  <c r="R21" i="2"/>
  <c r="O12" i="1"/>
  <c r="R13" i="2"/>
  <c r="J27" i="2"/>
  <c r="F26" i="2"/>
  <c r="J23" i="2"/>
  <c r="F22" i="2"/>
  <c r="AA18" i="1"/>
  <c r="J19" i="2"/>
  <c r="F18" i="2"/>
  <c r="AA14" i="1"/>
  <c r="Z14" i="1" s="1"/>
  <c r="J15" i="2"/>
  <c r="F14" i="2"/>
  <c r="D14" i="2" s="1"/>
  <c r="D32" i="2"/>
  <c r="N34" i="2"/>
  <c r="D67" i="1" s="1"/>
  <c r="N30" i="2"/>
  <c r="R14" i="2"/>
  <c r="O13" i="1"/>
  <c r="I32" i="1" l="1"/>
  <c r="C12" i="1"/>
  <c r="D21" i="2"/>
  <c r="D24" i="2"/>
  <c r="C23" i="1" s="1"/>
  <c r="D29" i="2"/>
  <c r="D19" i="2"/>
  <c r="U23" i="1"/>
  <c r="U12" i="1"/>
  <c r="U20" i="1"/>
  <c r="N39" i="1"/>
  <c r="B47" i="2"/>
  <c r="I67" i="1"/>
  <c r="T37" i="2"/>
  <c r="D47" i="2" s="1"/>
  <c r="U28" i="1"/>
  <c r="Z11" i="1"/>
  <c r="AA29" i="1"/>
  <c r="AA36" i="1" s="1"/>
  <c r="U18" i="1"/>
  <c r="F30" i="2"/>
  <c r="J30" i="2"/>
  <c r="J37" i="2" s="1"/>
  <c r="K66" i="1" s="1"/>
  <c r="C31" i="1"/>
  <c r="D34" i="2"/>
  <c r="D44" i="2" s="1"/>
  <c r="F67" i="1"/>
  <c r="N37" i="2"/>
  <c r="U13" i="1"/>
  <c r="C13" i="1"/>
  <c r="C18" i="1" l="1"/>
  <c r="C20" i="1"/>
  <c r="I23" i="1"/>
  <c r="I12" i="1"/>
  <c r="C28" i="1"/>
  <c r="F66" i="1"/>
  <c r="B66" i="1" s="1"/>
  <c r="F37" i="2"/>
  <c r="F38" i="2" s="1"/>
  <c r="C10" i="15" s="1"/>
  <c r="B10" i="15" s="1"/>
  <c r="E10" i="15" s="1"/>
  <c r="AA37" i="1"/>
  <c r="I65" i="1"/>
  <c r="I68" i="1" s="1"/>
  <c r="F41" i="2"/>
  <c r="C33" i="1"/>
  <c r="I31" i="1"/>
  <c r="I33" i="1" s="1"/>
  <c r="D65" i="1" s="1"/>
  <c r="D68" i="1" s="1"/>
  <c r="I13" i="1"/>
  <c r="I18" i="1" l="1"/>
  <c r="I20" i="1"/>
  <c r="I28" i="1"/>
  <c r="P12" i="2" l="1"/>
  <c r="P15" i="2"/>
  <c r="P17" i="2"/>
  <c r="P22" i="2"/>
  <c r="P25" i="2"/>
  <c r="P26" i="2"/>
  <c r="P27" i="2"/>
  <c r="R27" i="2" l="1"/>
  <c r="O26" i="1"/>
  <c r="D27" i="2"/>
  <c r="O25" i="1"/>
  <c r="D26" i="2"/>
  <c r="R26" i="2"/>
  <c r="O24" i="1"/>
  <c r="R25" i="2"/>
  <c r="D25" i="2"/>
  <c r="D22" i="2"/>
  <c r="O21" i="1"/>
  <c r="R22" i="2"/>
  <c r="O16" i="1"/>
  <c r="R17" i="2"/>
  <c r="D17" i="2"/>
  <c r="R15" i="2"/>
  <c r="O14" i="1"/>
  <c r="D15" i="2"/>
  <c r="O11" i="1"/>
  <c r="R12" i="2"/>
  <c r="D12" i="2"/>
  <c r="U26" i="1" l="1"/>
  <c r="C26" i="1"/>
  <c r="U25" i="1"/>
  <c r="C25" i="1"/>
  <c r="U24" i="1"/>
  <c r="C24" i="1"/>
  <c r="C21" i="1"/>
  <c r="U21" i="1"/>
  <c r="U16" i="1"/>
  <c r="C16" i="1"/>
  <c r="U14" i="1"/>
  <c r="C14" i="1"/>
  <c r="U11" i="1"/>
  <c r="C11" i="1"/>
  <c r="I14" i="1" l="1"/>
  <c r="I16" i="1"/>
  <c r="I25" i="1"/>
  <c r="I21" i="1"/>
  <c r="I24" i="1"/>
  <c r="I26" i="1"/>
  <c r="I11" i="1"/>
  <c r="CW18" i="4" l="1"/>
  <c r="CW26" i="4" s="1"/>
  <c r="AU18" i="4" l="1"/>
  <c r="AU26" i="4" s="1"/>
  <c r="P16" i="2" l="1"/>
  <c r="P18" i="2"/>
  <c r="P20" i="2"/>
  <c r="P23" i="2"/>
  <c r="P28" i="2"/>
  <c r="R28" i="2" l="1"/>
  <c r="O27" i="1"/>
  <c r="D28" i="2"/>
  <c r="O22" i="1"/>
  <c r="R23" i="2"/>
  <c r="D23" i="2"/>
  <c r="R20" i="2"/>
  <c r="O19" i="1"/>
  <c r="D20" i="2"/>
  <c r="O17" i="1"/>
  <c r="R18" i="2"/>
  <c r="D18" i="2"/>
  <c r="R16" i="2"/>
  <c r="R30" i="2" s="1"/>
  <c r="O15" i="1"/>
  <c r="D16" i="2"/>
  <c r="P30" i="2"/>
  <c r="U27" i="1" l="1"/>
  <c r="C27" i="1"/>
  <c r="U22" i="1"/>
  <c r="C22" i="1"/>
  <c r="U19" i="1"/>
  <c r="C19" i="1"/>
  <c r="U17" i="1"/>
  <c r="C17" i="1"/>
  <c r="R37" i="2"/>
  <c r="K67" i="1"/>
  <c r="B67" i="1" s="1"/>
  <c r="U15" i="1"/>
  <c r="O29" i="1"/>
  <c r="O36" i="1" s="1"/>
  <c r="D30" i="2"/>
  <c r="C15" i="1"/>
  <c r="D46" i="2"/>
  <c r="P37" i="2"/>
  <c r="I17" i="1" l="1"/>
  <c r="I19" i="1"/>
  <c r="I22" i="1"/>
  <c r="I27" i="1"/>
  <c r="D48" i="2"/>
  <c r="N38" i="2"/>
  <c r="N40" i="1"/>
  <c r="D45" i="2"/>
  <c r="D37" i="2"/>
  <c r="U29" i="1"/>
  <c r="U36" i="1" s="1"/>
  <c r="K65" i="1" s="1"/>
  <c r="K68" i="1" s="1"/>
  <c r="C29" i="1"/>
  <c r="C36" i="1" s="1"/>
  <c r="I15" i="1"/>
  <c r="I29" i="1" l="1"/>
  <c r="D49" i="2"/>
  <c r="F65" i="1" l="1"/>
  <c r="I36" i="1"/>
  <c r="F68" i="1" l="1"/>
  <c r="B65" i="1"/>
  <c r="B68" i="1" s="1"/>
  <c r="SW38" i="2" l="1"/>
  <c r="E38" i="11"/>
  <c r="D38" i="2" l="1"/>
  <c r="C45" i="3" l="1"/>
  <c r="C42" i="3" s="1"/>
  <c r="LL32" i="2" l="1"/>
  <c r="LL34" i="2" l="1"/>
  <c r="LL37" i="2" s="1"/>
  <c r="LL38" i="2" s="1"/>
  <c r="E222" i="8" s="1"/>
  <c r="LG32" i="2"/>
  <c r="LG34" i="2" s="1"/>
  <c r="LG37" i="2" s="1"/>
  <c r="AF19" i="4"/>
  <c r="AF15" i="4"/>
  <c r="AF8" i="4"/>
  <c r="AF13" i="4"/>
  <c r="AF14" i="4"/>
  <c r="G222" i="8" l="1"/>
  <c r="I222" i="8" s="1"/>
  <c r="E225" i="8"/>
  <c r="H222" i="8"/>
  <c r="AH13" i="4"/>
  <c r="AG13" i="4"/>
  <c r="AH15" i="4"/>
  <c r="AG15" i="4"/>
  <c r="AH8" i="4"/>
  <c r="AF26" i="4"/>
  <c r="AF36" i="3" s="1"/>
  <c r="AF38" i="3" s="1"/>
  <c r="E18" i="8" s="1"/>
  <c r="AG8" i="4"/>
  <c r="AH14" i="4"/>
  <c r="AG14" i="4"/>
  <c r="AG19" i="4"/>
  <c r="AH19" i="4"/>
  <c r="AI14" i="4" l="1"/>
  <c r="AI13" i="4"/>
  <c r="AG26" i="4"/>
  <c r="AG36" i="3" s="1"/>
  <c r="AG38" i="3" s="1"/>
  <c r="AI8" i="4"/>
  <c r="AI15" i="4"/>
  <c r="H225" i="8"/>
  <c r="G225" i="8"/>
  <c r="I225" i="8" s="1"/>
  <c r="E19" i="8"/>
  <c r="G18" i="8"/>
  <c r="AI19" i="4"/>
  <c r="AH26" i="4"/>
  <c r="AI26" i="4" l="1"/>
  <c r="E20" i="8"/>
  <c r="G19" i="8"/>
  <c r="F18" i="8"/>
  <c r="AG40" i="3"/>
  <c r="I18" i="8"/>
  <c r="G20" i="8" l="1"/>
  <c r="I19" i="8"/>
  <c r="F19" i="8"/>
  <c r="F20" i="8" s="1"/>
  <c r="H18" i="8"/>
  <c r="OT28" i="2"/>
  <c r="OU28" i="2"/>
  <c r="OU19" i="2"/>
  <c r="OT19" i="2"/>
  <c r="PK15" i="2"/>
  <c r="PJ15" i="2"/>
  <c r="Z11" i="3"/>
  <c r="AM15" i="2"/>
  <c r="AO28" i="2"/>
  <c r="AR13" i="4"/>
  <c r="AR14" i="4"/>
  <c r="AT14" i="4" s="1"/>
  <c r="AR22" i="4"/>
  <c r="AR21" i="4"/>
  <c r="AT21" i="4" s="1"/>
  <c r="AR16" i="4"/>
  <c r="AR11" i="4"/>
  <c r="AR10" i="4"/>
  <c r="AT10" i="4" s="1"/>
  <c r="AR8" i="4"/>
  <c r="AH25" i="3"/>
  <c r="AV18" i="4"/>
  <c r="AV26" i="4" s="1"/>
  <c r="AR18" i="4"/>
  <c r="AH10" i="3"/>
  <c r="GC20" i="2"/>
  <c r="GB20" i="2"/>
  <c r="Z12" i="3"/>
  <c r="GE20" i="2" l="1"/>
  <c r="GA20" i="2"/>
  <c r="AT18" i="4"/>
  <c r="AT22" i="4"/>
  <c r="PG15" i="2"/>
  <c r="PG30" i="2" s="1"/>
  <c r="PG37" i="2" s="1"/>
  <c r="N53" i="1" s="1"/>
  <c r="PJ30" i="2"/>
  <c r="QB15" i="2"/>
  <c r="BH27" i="6"/>
  <c r="HE26" i="18"/>
  <c r="HD26" i="18"/>
  <c r="H20" i="8"/>
  <c r="AT8" i="4"/>
  <c r="HE17" i="18"/>
  <c r="HD17" i="18"/>
  <c r="OU30" i="2"/>
  <c r="BH18" i="6"/>
  <c r="H19" i="8"/>
  <c r="I20" i="8"/>
  <c r="AT16" i="4"/>
  <c r="AT13" i="4"/>
  <c r="AK15" i="2"/>
  <c r="OT30" i="2"/>
  <c r="OS19" i="2"/>
  <c r="GF20" i="2"/>
  <c r="X19" i="6"/>
  <c r="D19" i="6" s="1"/>
  <c r="B19" i="6" s="1"/>
  <c r="BX18" i="18"/>
  <c r="D18" i="18" s="1"/>
  <c r="BY18" i="18"/>
  <c r="E18" i="18" s="1"/>
  <c r="AT11" i="4"/>
  <c r="AO30" i="2"/>
  <c r="AK28" i="2"/>
  <c r="HF13" i="18"/>
  <c r="BH14" i="6"/>
  <c r="PK30" i="2"/>
  <c r="PK37" i="2" s="1"/>
  <c r="QC15" i="2"/>
  <c r="QC30" i="2" s="1"/>
  <c r="QC37" i="2" s="1"/>
  <c r="PK59" i="2" s="1"/>
  <c r="HD13" i="18"/>
  <c r="T23" i="4"/>
  <c r="V23" i="4" s="1"/>
  <c r="Z23" i="3"/>
  <c r="T22" i="4"/>
  <c r="Z29" i="3"/>
  <c r="Z19" i="3"/>
  <c r="Z15" i="3"/>
  <c r="AD18" i="3"/>
  <c r="N21" i="4"/>
  <c r="N18" i="4"/>
  <c r="N15" i="4"/>
  <c r="N20" i="4"/>
  <c r="N16" i="4"/>
  <c r="N12" i="4"/>
  <c r="N11" i="4"/>
  <c r="R10" i="4"/>
  <c r="N10" i="4"/>
  <c r="N17" i="4"/>
  <c r="X28" i="3"/>
  <c r="N14" i="4"/>
  <c r="N8" i="4"/>
  <c r="N13" i="4"/>
  <c r="AD29" i="3"/>
  <c r="AD10" i="3"/>
  <c r="AD28" i="3"/>
  <c r="AD24" i="3"/>
  <c r="AD23" i="3"/>
  <c r="AD22" i="3"/>
  <c r="AD20" i="3"/>
  <c r="AD14" i="3"/>
  <c r="CT25" i="4"/>
  <c r="CT22" i="4"/>
  <c r="CT20" i="4"/>
  <c r="CT13" i="4"/>
  <c r="CT12" i="4"/>
  <c r="CT11" i="4"/>
  <c r="CT10" i="4"/>
  <c r="CX10" i="4"/>
  <c r="F10" i="4" l="1"/>
  <c r="RQ14" i="2" s="1"/>
  <c r="AD30" i="3"/>
  <c r="V22" i="4"/>
  <c r="PK56" i="2"/>
  <c r="PK53" i="2"/>
  <c r="OU37" i="2"/>
  <c r="OU54" i="2"/>
  <c r="PY15" i="2"/>
  <c r="PY30" i="2" s="1"/>
  <c r="PY37" i="2" s="1"/>
  <c r="QB30" i="2"/>
  <c r="QB37" i="2" s="1"/>
  <c r="PJ59" i="2" s="1"/>
  <c r="GD20" i="2"/>
  <c r="CV13" i="4"/>
  <c r="P13" i="4"/>
  <c r="O17" i="4"/>
  <c r="P17" i="4"/>
  <c r="P12" i="4"/>
  <c r="P15" i="4"/>
  <c r="CB18" i="18"/>
  <c r="H18" i="18" s="1"/>
  <c r="C18" i="18" s="1"/>
  <c r="CC18" i="18"/>
  <c r="I18" i="18" s="1"/>
  <c r="Y19" i="6"/>
  <c r="E19" i="6" s="1"/>
  <c r="C19" i="6" s="1"/>
  <c r="CV10" i="4"/>
  <c r="O8" i="4"/>
  <c r="N26" i="4"/>
  <c r="X36" i="3" s="1"/>
  <c r="P8" i="4"/>
  <c r="P16" i="4"/>
  <c r="CV12" i="4"/>
  <c r="P11" i="4"/>
  <c r="AA19" i="3"/>
  <c r="D13" i="18"/>
  <c r="HD28" i="18"/>
  <c r="HD35" i="18" s="1"/>
  <c r="HF28" i="18"/>
  <c r="HF35" i="18" s="1"/>
  <c r="F13" i="18"/>
  <c r="OT54" i="2"/>
  <c r="OT37" i="2"/>
  <c r="E17" i="18"/>
  <c r="HE28" i="18"/>
  <c r="HE35" i="18" s="1"/>
  <c r="CV20" i="4"/>
  <c r="O10" i="4"/>
  <c r="P10" i="4"/>
  <c r="P18" i="4"/>
  <c r="CV25" i="4"/>
  <c r="X30" i="3"/>
  <c r="X33" i="3" s="1"/>
  <c r="X38" i="3" s="1"/>
  <c r="E122" i="8" s="1"/>
  <c r="CV11" i="4"/>
  <c r="CV22" i="4"/>
  <c r="AD26" i="3"/>
  <c r="AD33" i="3" s="1"/>
  <c r="AD38" i="3" s="1"/>
  <c r="E15" i="8" s="1"/>
  <c r="O14" i="4"/>
  <c r="P14" i="4"/>
  <c r="S10" i="4"/>
  <c r="R26" i="4"/>
  <c r="O20" i="4"/>
  <c r="P20" i="4"/>
  <c r="P21" i="4"/>
  <c r="D14" i="6"/>
  <c r="B14" i="6" s="1"/>
  <c r="BH29" i="6"/>
  <c r="BH36" i="6" s="1"/>
  <c r="AO37" i="2"/>
  <c r="AO54" i="2"/>
  <c r="AK54" i="2" s="1"/>
  <c r="PG55" i="2"/>
  <c r="PJ37" i="2"/>
  <c r="B18" i="18"/>
  <c r="PJ56" i="2" l="1"/>
  <c r="PJ53" i="2"/>
  <c r="S26" i="4"/>
  <c r="G10" i="4"/>
  <c r="Q14" i="4"/>
  <c r="O26" i="4"/>
  <c r="Y36" i="3" s="1"/>
  <c r="Q8" i="4"/>
  <c r="B13" i="18"/>
  <c r="OT53" i="2"/>
  <c r="OT38" i="2"/>
  <c r="E187" i="8" s="1"/>
  <c r="U19" i="4"/>
  <c r="Q17" i="4"/>
  <c r="HD36" i="18"/>
  <c r="AO38" i="2"/>
  <c r="E193" i="8" s="1"/>
  <c r="AO53" i="2"/>
  <c r="AK53" i="2" s="1"/>
  <c r="Q20" i="4"/>
  <c r="E16" i="8"/>
  <c r="E17" i="8" s="1"/>
  <c r="G15" i="8"/>
  <c r="H15" i="8"/>
  <c r="Q10" i="4"/>
  <c r="P26" i="4"/>
  <c r="AB38" i="3" s="1"/>
  <c r="E169" i="8" s="1"/>
  <c r="OU38" i="2"/>
  <c r="OU53" i="2"/>
  <c r="E123" i="8"/>
  <c r="G122" i="8"/>
  <c r="I122" i="8" s="1"/>
  <c r="I15" i="8" l="1"/>
  <c r="E189" i="8"/>
  <c r="G187" i="8"/>
  <c r="H187" i="8"/>
  <c r="E124" i="8"/>
  <c r="G124" i="8" s="1"/>
  <c r="I124" i="8" s="1"/>
  <c r="G123" i="8"/>
  <c r="I123" i="8" s="1"/>
  <c r="E190" i="8"/>
  <c r="B31" i="7"/>
  <c r="W19" i="4"/>
  <c r="RR14" i="2"/>
  <c r="H17" i="8"/>
  <c r="G17" i="8"/>
  <c r="H193" i="8"/>
  <c r="E195" i="8"/>
  <c r="G193" i="8"/>
  <c r="I193" i="8" s="1"/>
  <c r="Y38" i="3"/>
  <c r="H169" i="8"/>
  <c r="G169" i="8"/>
  <c r="E171" i="8"/>
  <c r="E159" i="8"/>
  <c r="H159" i="8" s="1"/>
  <c r="H16" i="8"/>
  <c r="G16" i="8"/>
  <c r="Q26" i="4"/>
  <c r="D18" i="16" l="1"/>
  <c r="H195" i="8"/>
  <c r="G195" i="8"/>
  <c r="G189" i="8"/>
  <c r="H189" i="8"/>
  <c r="I16" i="8"/>
  <c r="G159" i="8"/>
  <c r="I159" i="8" s="1"/>
  <c r="I169" i="8"/>
  <c r="BF13" i="1"/>
  <c r="I187" i="8"/>
  <c r="E161" i="8"/>
  <c r="H161" i="8" s="1"/>
  <c r="G171" i="8"/>
  <c r="H171" i="8"/>
  <c r="F122" i="8"/>
  <c r="Y40" i="3"/>
  <c r="I17" i="8"/>
  <c r="E173" i="8"/>
  <c r="E192" i="8"/>
  <c r="G190" i="8"/>
  <c r="I190" i="8" s="1"/>
  <c r="H190" i="8"/>
  <c r="H192" i="8" l="1"/>
  <c r="G192" i="8"/>
  <c r="I192" i="8" s="1"/>
  <c r="F123" i="8"/>
  <c r="H122" i="8"/>
  <c r="F18" i="16"/>
  <c r="I195" i="8"/>
  <c r="D19" i="16"/>
  <c r="I171" i="8"/>
  <c r="G161" i="8"/>
  <c r="I161" i="8" s="1"/>
  <c r="BD13" i="1"/>
  <c r="E175" i="8"/>
  <c r="H175" i="8" s="1"/>
  <c r="H173" i="8"/>
  <c r="I189" i="8"/>
  <c r="F19" i="16"/>
  <c r="G175" i="8"/>
  <c r="I175" i="8" s="1"/>
  <c r="G173" i="8"/>
  <c r="E176" i="8" l="1"/>
  <c r="H176" i="8" s="1"/>
  <c r="F124" i="8"/>
  <c r="H124" i="8" s="1"/>
  <c r="H123" i="8"/>
  <c r="I173" i="8"/>
  <c r="G176" i="8"/>
  <c r="I176" i="8" s="1"/>
  <c r="GC16" i="2" l="1"/>
  <c r="GB16" i="2"/>
  <c r="RI29" i="2"/>
  <c r="RI28" i="2"/>
  <c r="RI27" i="2"/>
  <c r="RI26" i="2"/>
  <c r="RI25" i="2"/>
  <c r="RI23" i="2"/>
  <c r="RI22" i="2"/>
  <c r="RI21" i="2"/>
  <c r="RI20" i="2"/>
  <c r="RI19" i="2"/>
  <c r="RI18" i="2"/>
  <c r="RI17" i="2"/>
  <c r="RI16" i="2"/>
  <c r="RI14" i="2"/>
  <c r="RI12" i="2"/>
  <c r="BJ29" i="3"/>
  <c r="BJ28" i="3"/>
  <c r="CT24" i="4"/>
  <c r="CX23" i="4"/>
  <c r="F23" i="4" s="1"/>
  <c r="RQ27" i="2" s="1"/>
  <c r="AB26" i="1" s="1"/>
  <c r="CT23" i="4"/>
  <c r="CT21" i="4"/>
  <c r="CT19" i="4"/>
  <c r="CX18" i="4"/>
  <c r="F18" i="4" s="1"/>
  <c r="RQ22" i="2" s="1"/>
  <c r="CT18" i="4"/>
  <c r="CT17" i="4"/>
  <c r="CT16" i="4"/>
  <c r="CT15" i="4"/>
  <c r="CT14" i="4"/>
  <c r="CX9" i="4"/>
  <c r="CT9" i="4"/>
  <c r="CT8" i="4"/>
  <c r="BH18" i="4"/>
  <c r="BD18" i="4"/>
  <c r="CV9" i="4" l="1"/>
  <c r="CV16" i="4"/>
  <c r="CV19" i="4"/>
  <c r="CV24" i="4"/>
  <c r="RJ12" i="2"/>
  <c r="RI30" i="2"/>
  <c r="RI37" i="2" s="1"/>
  <c r="E457" i="8" s="1"/>
  <c r="RJ18" i="2"/>
  <c r="RJ22" i="2"/>
  <c r="RJ27" i="2"/>
  <c r="X15" i="6"/>
  <c r="GF16" i="2"/>
  <c r="GC30" i="2"/>
  <c r="GC37" i="2" s="1"/>
  <c r="BX14" i="18"/>
  <c r="BY14" i="18"/>
  <c r="BL26" i="1"/>
  <c r="Z26" i="1"/>
  <c r="RJ17" i="2"/>
  <c r="RJ21" i="2"/>
  <c r="RJ26" i="2"/>
  <c r="GB30" i="2"/>
  <c r="GB37" i="2" s="1"/>
  <c r="GE16" i="2"/>
  <c r="GA16" i="2"/>
  <c r="BF18" i="4"/>
  <c r="BF26" i="4" s="1"/>
  <c r="BF29" i="4" s="1"/>
  <c r="D29" i="4" s="1"/>
  <c r="BD26" i="4"/>
  <c r="CT26" i="4"/>
  <c r="BJ36" i="3" s="1"/>
  <c r="CV8" i="4"/>
  <c r="CV15" i="4"/>
  <c r="CV14" i="4"/>
  <c r="CV18" i="4"/>
  <c r="CV23" i="4"/>
  <c r="BK29" i="3"/>
  <c r="B29" i="3"/>
  <c r="RK33" i="2" s="1"/>
  <c r="RJ16" i="2"/>
  <c r="RJ20" i="2"/>
  <c r="RJ25" i="2"/>
  <c r="RJ29" i="2"/>
  <c r="BI18" i="4"/>
  <c r="BH26" i="4"/>
  <c r="BH29" i="4" s="1"/>
  <c r="F29" i="4" s="1"/>
  <c r="F9" i="4"/>
  <c r="CX26" i="4"/>
  <c r="CV17" i="4"/>
  <c r="CV21" i="4"/>
  <c r="BK28" i="3"/>
  <c r="BJ30" i="3"/>
  <c r="BJ33" i="3" s="1"/>
  <c r="RJ14" i="2"/>
  <c r="RJ19" i="2"/>
  <c r="RJ23" i="2"/>
  <c r="RJ28" i="2"/>
  <c r="BJ38" i="3" l="1"/>
  <c r="E230" i="8" s="1"/>
  <c r="E233" i="8" s="1"/>
  <c r="F26" i="4"/>
  <c r="RQ13" i="2"/>
  <c r="GA30" i="2"/>
  <c r="D14" i="18"/>
  <c r="RJ30" i="2"/>
  <c r="RJ37" i="2" s="1"/>
  <c r="E14" i="18"/>
  <c r="BY28" i="18"/>
  <c r="BY35" i="18" s="1"/>
  <c r="D15" i="6"/>
  <c r="B15" i="6" s="1"/>
  <c r="G457" i="8"/>
  <c r="I457" i="8" s="1"/>
  <c r="E458" i="8"/>
  <c r="G458" i="8" s="1"/>
  <c r="I458" i="8" s="1"/>
  <c r="CV26" i="4"/>
  <c r="C28" i="3"/>
  <c r="BK30" i="3"/>
  <c r="BK33" i="3" s="1"/>
  <c r="BK38" i="3" s="1"/>
  <c r="BI26" i="4"/>
  <c r="BI29" i="4" s="1"/>
  <c r="G29" i="4" s="1"/>
  <c r="C60" i="2" s="1"/>
  <c r="E60" i="2" s="1"/>
  <c r="J72" i="1" s="1"/>
  <c r="G18" i="4"/>
  <c r="BD29" i="4"/>
  <c r="B29" i="4" s="1"/>
  <c r="B45" i="3" s="1"/>
  <c r="B42" i="3" s="1"/>
  <c r="AP36" i="3"/>
  <c r="AP38" i="3" s="1"/>
  <c r="E91" i="8" s="1"/>
  <c r="Y15" i="6"/>
  <c r="GF30" i="2"/>
  <c r="GF37" i="2" s="1"/>
  <c r="CC14" i="18"/>
  <c r="CB14" i="18"/>
  <c r="CH32" i="2"/>
  <c r="G230" i="8"/>
  <c r="C29" i="3"/>
  <c r="RL33" i="2" s="1"/>
  <c r="AJ33" i="2" s="1"/>
  <c r="GD16" i="2"/>
  <c r="GE30" i="2"/>
  <c r="GE37" i="2" s="1"/>
  <c r="E459" i="8" l="1"/>
  <c r="G459" i="8" s="1"/>
  <c r="E201" i="8"/>
  <c r="E204" i="8" s="1"/>
  <c r="G201" i="8"/>
  <c r="I230" i="8"/>
  <c r="E15" i="6"/>
  <c r="C15" i="6" s="1"/>
  <c r="BK40" i="3"/>
  <c r="F230" i="8"/>
  <c r="E449" i="8"/>
  <c r="B14" i="18"/>
  <c r="RQ30" i="2"/>
  <c r="RQ37" i="2" s="1"/>
  <c r="AB12" i="1"/>
  <c r="G233" i="8"/>
  <c r="I233" i="8" s="1"/>
  <c r="E478" i="8"/>
  <c r="CH34" i="2"/>
  <c r="CG32" i="2"/>
  <c r="CG34" i="2" s="1"/>
  <c r="CG37" i="2" s="1"/>
  <c r="I14" i="18"/>
  <c r="I28" i="18" s="1"/>
  <c r="CC28" i="18"/>
  <c r="CC35" i="18" s="1"/>
  <c r="RJ41" i="2"/>
  <c r="F457" i="8"/>
  <c r="GA37" i="2"/>
  <c r="GA54" i="2"/>
  <c r="GD30" i="2"/>
  <c r="AH32" i="1"/>
  <c r="AN32" i="1" s="1"/>
  <c r="C33" i="2"/>
  <c r="AF32" i="1" s="1"/>
  <c r="AL32" i="1" s="1"/>
  <c r="H14" i="18"/>
  <c r="E93" i="8"/>
  <c r="H91" i="8"/>
  <c r="G91" i="8"/>
  <c r="I91" i="8" s="1"/>
  <c r="RR22" i="2"/>
  <c r="G26" i="4"/>
  <c r="RL32" i="2"/>
  <c r="C30" i="3"/>
  <c r="AR9" i="4"/>
  <c r="AR17" i="4"/>
  <c r="AR12" i="4"/>
  <c r="AH14" i="3"/>
  <c r="AT9" i="4" l="1"/>
  <c r="BF21" i="1"/>
  <c r="RR30" i="2"/>
  <c r="RR37" i="2" s="1"/>
  <c r="I38" i="18"/>
  <c r="I35" i="18"/>
  <c r="I40" i="18" s="1"/>
  <c r="I459" i="8"/>
  <c r="G449" i="8"/>
  <c r="I449" i="8" s="1"/>
  <c r="I201" i="8"/>
  <c r="G204" i="8"/>
  <c r="AT17" i="4"/>
  <c r="G93" i="8"/>
  <c r="H93" i="8"/>
  <c r="D24" i="16"/>
  <c r="CG55" i="2"/>
  <c r="B55" i="2" s="1"/>
  <c r="D55" i="2" s="1"/>
  <c r="D72" i="1" s="1"/>
  <c r="CH37" i="2"/>
  <c r="Z12" i="1"/>
  <c r="BL12" i="1"/>
  <c r="AT12" i="4"/>
  <c r="AJ32" i="2"/>
  <c r="RL34" i="2"/>
  <c r="GD37" i="2"/>
  <c r="GD54" i="2"/>
  <c r="C54" i="2" s="1"/>
  <c r="E54" i="2" s="1"/>
  <c r="H72" i="1" s="1"/>
  <c r="H457" i="8"/>
  <c r="F458" i="8"/>
  <c r="F447" i="8"/>
  <c r="F201" i="8"/>
  <c r="F233" i="8"/>
  <c r="H230" i="8"/>
  <c r="C14" i="18"/>
  <c r="OX17" i="2"/>
  <c r="OY17" i="2"/>
  <c r="OY28" i="2"/>
  <c r="OX28" i="2"/>
  <c r="Z10" i="3"/>
  <c r="Z13" i="3"/>
  <c r="T8" i="4"/>
  <c r="Z21" i="3"/>
  <c r="AL22" i="4"/>
  <c r="V8" i="4" l="1"/>
  <c r="OS28" i="2"/>
  <c r="H458" i="8"/>
  <c r="F448" i="8"/>
  <c r="CH38" i="2"/>
  <c r="E85" i="8" s="1"/>
  <c r="CG53" i="2"/>
  <c r="CG57" i="2" s="1"/>
  <c r="F24" i="16"/>
  <c r="I93" i="8"/>
  <c r="AA21" i="3"/>
  <c r="OS17" i="2"/>
  <c r="OS30" i="2" s="1"/>
  <c r="OS37" i="2" s="1"/>
  <c r="OX30" i="2"/>
  <c r="F204" i="8"/>
  <c r="H201" i="8"/>
  <c r="C32" i="2"/>
  <c r="AH31" i="1"/>
  <c r="AJ34" i="2"/>
  <c r="AJ44" i="2" s="1"/>
  <c r="C44" i="2" s="1"/>
  <c r="BD21" i="1"/>
  <c r="BD29" i="1" s="1"/>
  <c r="BD36" i="1" s="1"/>
  <c r="J63" i="1" s="1"/>
  <c r="BF29" i="1"/>
  <c r="BF36" i="1" s="1"/>
  <c r="OY30" i="2"/>
  <c r="HL15" i="18"/>
  <c r="BJ16" i="6"/>
  <c r="F478" i="8"/>
  <c r="H233" i="8"/>
  <c r="AJ50" i="2"/>
  <c r="AJ47" i="2"/>
  <c r="F459" i="8"/>
  <c r="AN22" i="4"/>
  <c r="AN26" i="4" s="1"/>
  <c r="AL26" i="4"/>
  <c r="E27" i="8" s="1"/>
  <c r="HL26" i="18"/>
  <c r="BJ27" i="6"/>
  <c r="D27" i="6" s="1"/>
  <c r="B27" i="6" s="1"/>
  <c r="I204" i="8"/>
  <c r="AJ51" i="2" l="1"/>
  <c r="OY54" i="2"/>
  <c r="OY37" i="2"/>
  <c r="BF37" i="1"/>
  <c r="BD37" i="1" s="1"/>
  <c r="J70" i="1"/>
  <c r="J78" i="1" s="1"/>
  <c r="AF31" i="1"/>
  <c r="C34" i="2"/>
  <c r="OX37" i="2"/>
  <c r="OX54" i="2"/>
  <c r="U21" i="4"/>
  <c r="AA26" i="3"/>
  <c r="AA33" i="3" s="1"/>
  <c r="HM26" i="18"/>
  <c r="E26" i="18" s="1"/>
  <c r="D26" i="18"/>
  <c r="G27" i="8"/>
  <c r="I27" i="8" s="1"/>
  <c r="E28" i="8"/>
  <c r="H27" i="8"/>
  <c r="HL28" i="18"/>
  <c r="HL35" i="18" s="1"/>
  <c r="D15" i="18"/>
  <c r="HM15" i="18"/>
  <c r="AH33" i="1"/>
  <c r="AN31" i="1"/>
  <c r="AN33" i="1" s="1"/>
  <c r="E70" i="1" s="1"/>
  <c r="BJ29" i="6"/>
  <c r="BJ36" i="6" s="1"/>
  <c r="D16" i="6"/>
  <c r="B16" i="6" s="1"/>
  <c r="F464" i="8"/>
  <c r="H204" i="8"/>
  <c r="G85" i="8"/>
  <c r="E87" i="8"/>
  <c r="H85" i="8"/>
  <c r="H459" i="8"/>
  <c r="F449" i="8"/>
  <c r="H449" i="8" s="1"/>
  <c r="F471" i="8" l="1"/>
  <c r="F472" i="8" s="1"/>
  <c r="D17" i="15"/>
  <c r="W21" i="4"/>
  <c r="W26" i="4" s="1"/>
  <c r="U26" i="4"/>
  <c r="AA36" i="3" s="1"/>
  <c r="AL31" i="1"/>
  <c r="AL33" i="1" s="1"/>
  <c r="E63" i="1" s="1"/>
  <c r="AF33" i="1"/>
  <c r="OY38" i="2"/>
  <c r="OY53" i="2"/>
  <c r="B26" i="18"/>
  <c r="G87" i="8"/>
  <c r="I85" i="8"/>
  <c r="OX53" i="2"/>
  <c r="OS53" i="2" s="1"/>
  <c r="OX38" i="2"/>
  <c r="E79" i="8" s="1"/>
  <c r="D23" i="16"/>
  <c r="H87" i="8"/>
  <c r="HM28" i="18"/>
  <c r="HM35" i="18" s="1"/>
  <c r="HL36" i="18" s="1"/>
  <c r="E15" i="18"/>
  <c r="E28" i="18" s="1"/>
  <c r="E29" i="8"/>
  <c r="G28" i="8"/>
  <c r="I28" i="8" s="1"/>
  <c r="H28" i="8"/>
  <c r="OS54" i="2"/>
  <c r="B54" i="2" s="1"/>
  <c r="D54" i="2" s="1"/>
  <c r="F72" i="1" s="1"/>
  <c r="B15" i="18" l="1"/>
  <c r="G29" i="8"/>
  <c r="I29" i="8" s="1"/>
  <c r="H29" i="8"/>
  <c r="E81" i="8"/>
  <c r="H79" i="8"/>
  <c r="G79" i="8"/>
  <c r="I79" i="8" s="1"/>
  <c r="F23" i="16"/>
  <c r="I87" i="8"/>
  <c r="AA38" i="3"/>
  <c r="AS38" i="2" s="1"/>
  <c r="E35" i="18"/>
  <c r="E40" i="18" s="1"/>
  <c r="E38" i="18"/>
  <c r="E82" i="8"/>
  <c r="B32" i="7"/>
  <c r="E78" i="1"/>
  <c r="G82" i="8" l="1"/>
  <c r="I82" i="8" s="1"/>
  <c r="H82" i="8"/>
  <c r="E84" i="8"/>
  <c r="G81" i="8"/>
  <c r="H81" i="8"/>
  <c r="F511" i="8"/>
  <c r="AS41" i="2"/>
  <c r="D20" i="16" l="1"/>
  <c r="G84" i="8"/>
  <c r="I84" i="8" s="1"/>
  <c r="H84" i="8"/>
  <c r="I81" i="8"/>
  <c r="F20" i="16" l="1"/>
  <c r="Z16" i="3" l="1"/>
  <c r="CS14" i="2" l="1"/>
  <c r="CS22" i="2"/>
  <c r="CS30" i="2" l="1"/>
  <c r="CS37" i="2" s="1"/>
  <c r="CI38" i="2" s="1"/>
  <c r="E88" i="8" s="1"/>
  <c r="CQ14" i="2"/>
  <c r="CQ22" i="2"/>
  <c r="CQ30" i="2" l="1"/>
  <c r="CQ37" i="2" s="1"/>
  <c r="DC14" i="2"/>
  <c r="E89" i="8"/>
  <c r="G88" i="8"/>
  <c r="H88" i="8"/>
  <c r="E74" i="8"/>
  <c r="E90" i="8"/>
  <c r="DC22" i="2"/>
  <c r="AB21" i="1" s="1"/>
  <c r="DA22" i="2"/>
  <c r="AM33" i="2"/>
  <c r="T10" i="4"/>
  <c r="AK33" i="2" l="1"/>
  <c r="AM34" i="2"/>
  <c r="N42" i="1"/>
  <c r="CG38" i="2"/>
  <c r="H74" i="8"/>
  <c r="DC30" i="2"/>
  <c r="DC37" i="2" s="1"/>
  <c r="AB13" i="1"/>
  <c r="V10" i="4"/>
  <c r="H90" i="8"/>
  <c r="E76" i="8"/>
  <c r="H76" i="8" s="1"/>
  <c r="G90" i="8"/>
  <c r="G89" i="8"/>
  <c r="E75" i="8"/>
  <c r="H75" i="8" s="1"/>
  <c r="H89" i="8"/>
  <c r="DA14" i="2"/>
  <c r="DA30" i="2" s="1"/>
  <c r="DA37" i="2" s="1"/>
  <c r="Z21" i="1"/>
  <c r="BL21" i="1"/>
  <c r="I88" i="8"/>
  <c r="G74" i="8"/>
  <c r="I74" i="8" l="1"/>
  <c r="I90" i="8"/>
  <c r="G76" i="8"/>
  <c r="I76" i="8" s="1"/>
  <c r="AK34" i="2"/>
  <c r="AI33" i="2"/>
  <c r="G75" i="8"/>
  <c r="I75" i="8" s="1"/>
  <c r="I89" i="8"/>
  <c r="BL13" i="1"/>
  <c r="Z13" i="1"/>
  <c r="E77" i="8"/>
  <c r="H77" i="8" l="1"/>
  <c r="E464" i="8"/>
  <c r="G77" i="8"/>
  <c r="B33" i="2"/>
  <c r="D32" i="1"/>
  <c r="J32" i="1" s="1"/>
  <c r="C17" i="15" l="1"/>
  <c r="E17" i="15" s="1"/>
  <c r="E471" i="8"/>
  <c r="E472" i="8" s="1"/>
  <c r="H464" i="8"/>
  <c r="I77" i="8"/>
  <c r="G464" i="8"/>
  <c r="I464" i="8" s="1"/>
  <c r="B32" i="1"/>
  <c r="H32" i="1" s="1"/>
  <c r="GU19" i="2" l="1"/>
  <c r="GI19" i="2"/>
  <c r="GT19" i="2"/>
  <c r="GH19" i="2"/>
  <c r="GN19" i="2" l="1"/>
  <c r="GK19" i="2"/>
  <c r="GG19" i="2"/>
  <c r="GH30" i="2"/>
  <c r="GH37" i="2" s="1"/>
  <c r="GB38" i="2" s="1"/>
  <c r="E377" i="8" s="1"/>
  <c r="CA17" i="18"/>
  <c r="GU30" i="2"/>
  <c r="GU37" i="2" s="1"/>
  <c r="X18" i="6"/>
  <c r="GL19" i="2"/>
  <c r="BX17" i="18"/>
  <c r="GO19" i="2"/>
  <c r="GI30" i="2"/>
  <c r="GI37" i="2" s="1"/>
  <c r="GC38" i="2" s="1"/>
  <c r="GS19" i="2"/>
  <c r="GT30" i="2"/>
  <c r="GT37" i="2" s="1"/>
  <c r="T11" i="4"/>
  <c r="AR25" i="4"/>
  <c r="AH21" i="3"/>
  <c r="AH19" i="3"/>
  <c r="AN12" i="3"/>
  <c r="AN17" i="3"/>
  <c r="AN11" i="3"/>
  <c r="AN25" i="3"/>
  <c r="AN24" i="3"/>
  <c r="AN23" i="3"/>
  <c r="AN22" i="3"/>
  <c r="AN21" i="3"/>
  <c r="AN20" i="3"/>
  <c r="AN19" i="3"/>
  <c r="AN18" i="3"/>
  <c r="AN16" i="3"/>
  <c r="AN15" i="3"/>
  <c r="AN14" i="3"/>
  <c r="AN13" i="3"/>
  <c r="AN10" i="3"/>
  <c r="AN9" i="3"/>
  <c r="AN8" i="3"/>
  <c r="AL9" i="3"/>
  <c r="AM9" i="3" l="1"/>
  <c r="AL26" i="3"/>
  <c r="AL33" i="3" s="1"/>
  <c r="AL38" i="3" s="1"/>
  <c r="E152" i="8" s="1"/>
  <c r="B9" i="3"/>
  <c r="RK13" i="2" s="1"/>
  <c r="AO10" i="3"/>
  <c r="B10" i="3"/>
  <c r="RK14" i="2" s="1"/>
  <c r="AO16" i="3"/>
  <c r="B16" i="3"/>
  <c r="RK20" i="2" s="1"/>
  <c r="AO21" i="3"/>
  <c r="B21" i="3"/>
  <c r="RK25" i="2" s="1"/>
  <c r="AO25" i="3"/>
  <c r="B25" i="3"/>
  <c r="RK29" i="2" s="1"/>
  <c r="AH26" i="3"/>
  <c r="AH33" i="3" s="1"/>
  <c r="AO9" i="3"/>
  <c r="AO20" i="3"/>
  <c r="B20" i="3"/>
  <c r="RK24" i="2" s="1"/>
  <c r="AO12" i="3"/>
  <c r="B12" i="3"/>
  <c r="RK16" i="2" s="1"/>
  <c r="AO13" i="3"/>
  <c r="B13" i="3"/>
  <c r="RK17" i="2" s="1"/>
  <c r="B18" i="3"/>
  <c r="RK22" i="2" s="1"/>
  <c r="AO18" i="3"/>
  <c r="AO22" i="3"/>
  <c r="B22" i="3"/>
  <c r="RK26" i="2" s="1"/>
  <c r="AO11" i="3"/>
  <c r="B11" i="3"/>
  <c r="RK15" i="2" s="1"/>
  <c r="D17" i="18"/>
  <c r="BX28" i="18"/>
  <c r="BX35" i="18" s="1"/>
  <c r="G17" i="18"/>
  <c r="G28" i="18" s="1"/>
  <c r="CA28" i="18"/>
  <c r="CA35" i="18" s="1"/>
  <c r="GM19" i="2"/>
  <c r="GM30" i="2" s="1"/>
  <c r="GM37" i="2" s="1"/>
  <c r="GA59" i="2" s="1"/>
  <c r="GN30" i="2"/>
  <c r="GN37" i="2" s="1"/>
  <c r="BZ17" i="18"/>
  <c r="GO30" i="2"/>
  <c r="GO37" i="2" s="1"/>
  <c r="GJ19" i="2"/>
  <c r="GK30" i="2"/>
  <c r="GK37" i="2" s="1"/>
  <c r="GE38" i="2" s="1"/>
  <c r="GQ19" i="2"/>
  <c r="AO15" i="3"/>
  <c r="B15" i="3"/>
  <c r="RK19" i="2" s="1"/>
  <c r="AO24" i="3"/>
  <c r="V11" i="4"/>
  <c r="V26" i="4" s="1"/>
  <c r="T26" i="4"/>
  <c r="Z36" i="3" s="1"/>
  <c r="B20" i="7"/>
  <c r="E380" i="8"/>
  <c r="D18" i="6"/>
  <c r="B18" i="6" s="1"/>
  <c r="X29" i="6"/>
  <c r="X36" i="6" s="1"/>
  <c r="GG30" i="2"/>
  <c r="GG37" i="2" s="1"/>
  <c r="AN26" i="3"/>
  <c r="AN33" i="3" s="1"/>
  <c r="AN38" i="3" s="1"/>
  <c r="E155" i="8" s="1"/>
  <c r="AO8" i="3"/>
  <c r="B8" i="3"/>
  <c r="AO14" i="3"/>
  <c r="AO19" i="3"/>
  <c r="B19" i="3"/>
  <c r="RK23" i="2" s="1"/>
  <c r="AO23" i="3"/>
  <c r="B23" i="3"/>
  <c r="RK27" i="2" s="1"/>
  <c r="AO17" i="3"/>
  <c r="B17" i="3"/>
  <c r="RK21" i="2" s="1"/>
  <c r="AT25" i="4"/>
  <c r="AB18" i="1"/>
  <c r="GS30" i="2"/>
  <c r="GS37" i="2" s="1"/>
  <c r="Y18" i="6"/>
  <c r="CB17" i="18"/>
  <c r="GL30" i="2"/>
  <c r="GL37" i="2" s="1"/>
  <c r="GF38" i="2" s="1"/>
  <c r="GR19" i="2"/>
  <c r="G377" i="8"/>
  <c r="E378" i="8"/>
  <c r="E379" i="8" s="1"/>
  <c r="G379" i="8" s="1"/>
  <c r="I379" i="8" s="1"/>
  <c r="N51" i="1" l="1"/>
  <c r="GA56" i="2"/>
  <c r="GA38" i="2"/>
  <c r="GA53" i="2" s="1"/>
  <c r="C15" i="3"/>
  <c r="RL19" i="2" s="1"/>
  <c r="C25" i="3"/>
  <c r="RL29" i="2" s="1"/>
  <c r="E153" i="8"/>
  <c r="G152" i="8"/>
  <c r="E154" i="8"/>
  <c r="CD17" i="18"/>
  <c r="GR30" i="2"/>
  <c r="GR37" i="2" s="1"/>
  <c r="RK12" i="2"/>
  <c r="GJ30" i="2"/>
  <c r="GJ37" i="2" s="1"/>
  <c r="C18" i="3"/>
  <c r="RL22" i="2" s="1"/>
  <c r="C21" i="3"/>
  <c r="RL25" i="2" s="1"/>
  <c r="H17" i="18"/>
  <c r="CB28" i="18"/>
  <c r="CB35" i="18" s="1"/>
  <c r="C17" i="3"/>
  <c r="RL21" i="2" s="1"/>
  <c r="C14" i="3"/>
  <c r="RL18" i="2" s="1"/>
  <c r="G155" i="8"/>
  <c r="I155" i="8" s="1"/>
  <c r="E156" i="8"/>
  <c r="G156" i="8" s="1"/>
  <c r="I156" i="8" s="1"/>
  <c r="C24" i="3"/>
  <c r="RL28" i="2" s="1"/>
  <c r="GQ30" i="2"/>
  <c r="GQ37" i="2" s="1"/>
  <c r="GP19" i="2"/>
  <c r="GP30" i="2" s="1"/>
  <c r="GP37" i="2" s="1"/>
  <c r="GD59" i="2" s="1"/>
  <c r="C59" i="2" s="1"/>
  <c r="E59" i="2" s="1"/>
  <c r="L72" i="1" s="1"/>
  <c r="C72" i="1" s="1"/>
  <c r="F17" i="18"/>
  <c r="B17" i="18" s="1"/>
  <c r="BZ28" i="18"/>
  <c r="BZ35" i="18" s="1"/>
  <c r="BX36" i="18" s="1"/>
  <c r="G38" i="18"/>
  <c r="G35" i="18"/>
  <c r="G40" i="18" s="1"/>
  <c r="C22" i="3"/>
  <c r="RL26" i="2" s="1"/>
  <c r="C20" i="3"/>
  <c r="RL24" i="2" s="1"/>
  <c r="C10" i="3"/>
  <c r="RL14" i="2" s="1"/>
  <c r="C9" i="3"/>
  <c r="RL13" i="2" s="1"/>
  <c r="AM26" i="3"/>
  <c r="AM33" i="3" s="1"/>
  <c r="AM38" i="3" s="1"/>
  <c r="GF42" i="2"/>
  <c r="F380" i="8"/>
  <c r="C20" i="7"/>
  <c r="Z18" i="1"/>
  <c r="Z29" i="1" s="1"/>
  <c r="Z36" i="1" s="1"/>
  <c r="I63" i="1" s="1"/>
  <c r="BL18" i="1"/>
  <c r="AB29" i="1"/>
  <c r="C23" i="3"/>
  <c r="RL27" i="2" s="1"/>
  <c r="C8" i="3"/>
  <c r="AO26" i="3"/>
  <c r="AO33" i="3" s="1"/>
  <c r="AO38" i="3" s="1"/>
  <c r="GA60" i="2"/>
  <c r="B60" i="2" s="1"/>
  <c r="D60" i="2" s="1"/>
  <c r="I72" i="1" s="1"/>
  <c r="AI50" i="2"/>
  <c r="AI47" i="2"/>
  <c r="C19" i="3"/>
  <c r="RL23" i="2" s="1"/>
  <c r="E381" i="8"/>
  <c r="E382" i="8" s="1"/>
  <c r="G382" i="8" s="1"/>
  <c r="I382" i="8" s="1"/>
  <c r="G380" i="8"/>
  <c r="C13" i="3"/>
  <c r="RL17" i="2" s="1"/>
  <c r="G378" i="8"/>
  <c r="I378" i="8" s="1"/>
  <c r="I377" i="8"/>
  <c r="E18" i="6"/>
  <c r="C18" i="6" s="1"/>
  <c r="Y29" i="6"/>
  <c r="Y36" i="6" s="1"/>
  <c r="GE42" i="2"/>
  <c r="F377" i="8"/>
  <c r="C11" i="3"/>
  <c r="RL15" i="2" s="1"/>
  <c r="C12" i="3"/>
  <c r="RL16" i="2" s="1"/>
  <c r="C16" i="3"/>
  <c r="RL20" i="2" s="1"/>
  <c r="GA61" i="2" l="1"/>
  <c r="RL12" i="2"/>
  <c r="C26" i="3"/>
  <c r="C33" i="3" s="1"/>
  <c r="AB36" i="1"/>
  <c r="BL29" i="1"/>
  <c r="F381" i="8"/>
  <c r="H381" i="8" s="1"/>
  <c r="H380" i="8"/>
  <c r="F152" i="8"/>
  <c r="AM40" i="3"/>
  <c r="G154" i="8"/>
  <c r="F378" i="8"/>
  <c r="H378" i="8" s="1"/>
  <c r="H377" i="8"/>
  <c r="GA57" i="2"/>
  <c r="I152" i="8"/>
  <c r="I380" i="8"/>
  <c r="G381" i="8"/>
  <c r="I381" i="8" s="1"/>
  <c r="AO40" i="3"/>
  <c r="F155" i="8"/>
  <c r="GD56" i="2"/>
  <c r="AR51" i="1"/>
  <c r="GD38" i="2"/>
  <c r="GD53" i="2" s="1"/>
  <c r="CD28" i="18"/>
  <c r="CD35" i="18" s="1"/>
  <c r="CB36" i="18" s="1"/>
  <c r="J17" i="18"/>
  <c r="C17" i="18" s="1"/>
  <c r="G153" i="8"/>
  <c r="E157" i="8"/>
  <c r="G157" i="8" s="1"/>
  <c r="I157" i="8" s="1"/>
  <c r="C56" i="2" l="1"/>
  <c r="GD61" i="2"/>
  <c r="AU61" i="2" s="1"/>
  <c r="AQ61" i="2" s="1"/>
  <c r="AO61" i="2" s="1"/>
  <c r="AK61" i="2" s="1"/>
  <c r="RL30" i="2"/>
  <c r="RL37" i="2" s="1"/>
  <c r="F156" i="8"/>
  <c r="H156" i="8" s="1"/>
  <c r="H155" i="8"/>
  <c r="I154" i="8"/>
  <c r="GD57" i="2"/>
  <c r="BG57" i="2" s="1"/>
  <c r="BD57" i="2" s="1"/>
  <c r="BC57" i="2" s="1"/>
  <c r="BA57" i="2" s="1"/>
  <c r="AX57" i="2" s="1"/>
  <c r="AW57" i="2" s="1"/>
  <c r="AU57" i="2" s="1"/>
  <c r="AQ57" i="2" s="1"/>
  <c r="AO57" i="2" s="1"/>
  <c r="AK57" i="2" s="1"/>
  <c r="C53" i="2"/>
  <c r="AI51" i="2"/>
  <c r="BL36" i="1"/>
  <c r="AB37" i="1"/>
  <c r="Z37" i="1" s="1"/>
  <c r="I70" i="1"/>
  <c r="I78" i="1" s="1"/>
  <c r="F382" i="8"/>
  <c r="H382" i="8" s="1"/>
  <c r="I153" i="8"/>
  <c r="F109" i="8"/>
  <c r="H152" i="8"/>
  <c r="F153" i="8"/>
  <c r="F379" i="8"/>
  <c r="H379" i="8" s="1"/>
  <c r="F157" i="8" l="1"/>
  <c r="H157" i="8" s="1"/>
  <c r="E53" i="2"/>
  <c r="C57" i="2"/>
  <c r="E57" i="2" s="1"/>
  <c r="F154" i="8"/>
  <c r="H153" i="8"/>
  <c r="F110" i="8"/>
  <c r="E56" i="2"/>
  <c r="C61" i="2"/>
  <c r="H154" i="8" l="1"/>
  <c r="F111" i="8"/>
  <c r="Z28" i="3" l="1"/>
  <c r="AM27" i="2"/>
  <c r="Z30" i="3" l="1"/>
  <c r="B28" i="3"/>
  <c r="AK27" i="2"/>
  <c r="RK32" i="2" l="1"/>
  <c r="B30" i="3"/>
  <c r="RK34" i="2" l="1"/>
  <c r="AI32" i="2"/>
  <c r="D31" i="1" l="1"/>
  <c r="AI34" i="2"/>
  <c r="AI44" i="2" s="1"/>
  <c r="B44" i="2" s="1"/>
  <c r="B32" i="2"/>
  <c r="J31" i="1" l="1"/>
  <c r="J33" i="1" s="1"/>
  <c r="D70" i="1" s="1"/>
  <c r="D33" i="1"/>
  <c r="B34" i="2"/>
  <c r="B31" i="1"/>
  <c r="Z14" i="3"/>
  <c r="B33" i="1" l="1"/>
  <c r="H31" i="1"/>
  <c r="H33" i="1" s="1"/>
  <c r="D63" i="1" s="1"/>
  <c r="B14" i="3"/>
  <c r="NE18" i="2"/>
  <c r="ND18" i="2"/>
  <c r="D78" i="1" l="1"/>
  <c r="AZ17" i="6"/>
  <c r="NE30" i="2"/>
  <c r="NE37" i="2" s="1"/>
  <c r="FX16" i="18"/>
  <c r="NK18" i="2"/>
  <c r="NK30" i="2" s="1"/>
  <c r="NK37" i="2" s="1"/>
  <c r="NC18" i="2"/>
  <c r="ND30" i="2"/>
  <c r="ND37" i="2" s="1"/>
  <c r="E38" i="8" s="1"/>
  <c r="NJ18" i="2"/>
  <c r="RK18" i="2"/>
  <c r="AR24" i="4"/>
  <c r="AR23" i="4"/>
  <c r="AR20" i="4"/>
  <c r="AR15" i="4"/>
  <c r="AT15" i="4" l="1"/>
  <c r="AR26" i="4"/>
  <c r="AH36" i="3" s="1"/>
  <c r="AH38" i="3" s="1"/>
  <c r="E454" i="8" s="1"/>
  <c r="NC30" i="2"/>
  <c r="NC37" i="2" s="1"/>
  <c r="D17" i="6"/>
  <c r="B17" i="6" s="1"/>
  <c r="AZ29" i="6"/>
  <c r="AZ36" i="6" s="1"/>
  <c r="G38" i="8"/>
  <c r="H38" i="8"/>
  <c r="E39" i="8"/>
  <c r="AT23" i="4"/>
  <c r="NJ30" i="2"/>
  <c r="NJ37" i="2" s="1"/>
  <c r="NI18" i="2"/>
  <c r="NI30" i="2" s="1"/>
  <c r="NI37" i="2" s="1"/>
  <c r="FZ16" i="18"/>
  <c r="D16" i="18"/>
  <c r="FX28" i="18"/>
  <c r="FX35" i="18" s="1"/>
  <c r="AT24" i="4"/>
  <c r="E41" i="8"/>
  <c r="E34" i="8" s="1"/>
  <c r="H34" i="8" s="1"/>
  <c r="B29" i="7"/>
  <c r="AT20" i="4"/>
  <c r="F16" i="18" l="1"/>
  <c r="B16" i="18" s="1"/>
  <c r="FZ28" i="18"/>
  <c r="FZ35" i="18" s="1"/>
  <c r="FX36" i="18" s="1"/>
  <c r="AT26" i="4"/>
  <c r="AJ38" i="3" s="1"/>
  <c r="E149" i="8" s="1"/>
  <c r="N52" i="1"/>
  <c r="MY38" i="2"/>
  <c r="G41" i="8"/>
  <c r="G34" i="8" s="1"/>
  <c r="I34" i="8" s="1"/>
  <c r="H41" i="8"/>
  <c r="E42" i="8"/>
  <c r="H42" i="8" s="1"/>
  <c r="E455" i="8"/>
  <c r="H454" i="8"/>
  <c r="E447" i="8"/>
  <c r="H447" i="8" s="1"/>
  <c r="G454" i="8"/>
  <c r="G39" i="8"/>
  <c r="G40" i="8" s="1"/>
  <c r="I38" i="8"/>
  <c r="E40" i="8"/>
  <c r="H39" i="8"/>
  <c r="H40" i="8" l="1"/>
  <c r="G447" i="8"/>
  <c r="I447" i="8" s="1"/>
  <c r="I454" i="8"/>
  <c r="H149" i="8"/>
  <c r="G149" i="8"/>
  <c r="E150" i="8"/>
  <c r="E109" i="8"/>
  <c r="H109" i="8" s="1"/>
  <c r="E43" i="8"/>
  <c r="H43" i="8" s="1"/>
  <c r="I40" i="8"/>
  <c r="I39" i="8"/>
  <c r="H455" i="8"/>
  <c r="G455" i="8"/>
  <c r="E448" i="8"/>
  <c r="H448" i="8" s="1"/>
  <c r="G42" i="8"/>
  <c r="I42" i="8" s="1"/>
  <c r="I41" i="8"/>
  <c r="E35" i="8"/>
  <c r="H35" i="8" s="1"/>
  <c r="G43" i="8" l="1"/>
  <c r="I43" i="8" s="1"/>
  <c r="I149" i="8"/>
  <c r="G150" i="8"/>
  <c r="G109" i="8"/>
  <c r="I109" i="8" s="1"/>
  <c r="E151" i="8"/>
  <c r="H150" i="8"/>
  <c r="E110" i="8"/>
  <c r="H110" i="8" s="1"/>
  <c r="I455" i="8"/>
  <c r="G448" i="8"/>
  <c r="I448" i="8" s="1"/>
  <c r="G35" i="8"/>
  <c r="I35" i="8" s="1"/>
  <c r="E36" i="8"/>
  <c r="H36" i="8" s="1"/>
  <c r="G36" i="8" l="1"/>
  <c r="I36" i="8" s="1"/>
  <c r="I150" i="8"/>
  <c r="G110" i="8"/>
  <c r="I110" i="8" s="1"/>
  <c r="G151" i="8"/>
  <c r="H151" i="8"/>
  <c r="E111" i="8"/>
  <c r="H111" i="8" s="1"/>
  <c r="I151" i="8" l="1"/>
  <c r="G111" i="8"/>
  <c r="I111" i="8" s="1"/>
  <c r="AX24" i="2" l="1"/>
  <c r="AW24" i="2" l="1"/>
  <c r="AW30" i="2" s="1"/>
  <c r="AW37" i="2" s="1"/>
  <c r="N43" i="1" s="1"/>
  <c r="AX30" i="2"/>
  <c r="AX37" i="2" s="1"/>
  <c r="BJ24" i="2"/>
  <c r="AX56" i="2" l="1"/>
  <c r="AW56" i="2" s="1"/>
  <c r="B56" i="2" s="1"/>
  <c r="AL38" i="2"/>
  <c r="E362" i="8" s="1"/>
  <c r="AX53" i="2"/>
  <c r="AW53" i="2" s="1"/>
  <c r="B53" i="2" s="1"/>
  <c r="BI24" i="2"/>
  <c r="BI30" i="2" s="1"/>
  <c r="BI37" i="2" s="1"/>
  <c r="BJ30" i="2"/>
  <c r="BJ37" i="2" s="1"/>
  <c r="AX59" i="2" s="1"/>
  <c r="AW59" i="2" s="1"/>
  <c r="B59" i="2" s="1"/>
  <c r="D59" i="2" s="1"/>
  <c r="K72" i="1" s="1"/>
  <c r="B72" i="1" s="1"/>
  <c r="B61" i="2" l="1"/>
  <c r="D56" i="2"/>
  <c r="G362" i="8"/>
  <c r="I362" i="8" s="1"/>
  <c r="H362" i="8"/>
  <c r="E364" i="8"/>
  <c r="B57" i="2"/>
  <c r="D57" i="2" s="1"/>
  <c r="D53" i="2"/>
  <c r="H364" i="8" l="1"/>
  <c r="G364" i="8"/>
  <c r="D6" i="16"/>
  <c r="D26" i="16" s="1"/>
  <c r="F6" i="16" l="1"/>
  <c r="F26" i="16" s="1"/>
  <c r="I364" i="8"/>
  <c r="CN25" i="4" l="1"/>
  <c r="CN24" i="4"/>
  <c r="CN23" i="4"/>
  <c r="CN22" i="4"/>
  <c r="CN21" i="4"/>
  <c r="CN20" i="4"/>
  <c r="CN19" i="4"/>
  <c r="CN18" i="4"/>
  <c r="CN17" i="4"/>
  <c r="CN16" i="4"/>
  <c r="CN15" i="4"/>
  <c r="CN14" i="4"/>
  <c r="CN13" i="4"/>
  <c r="CN12" i="4"/>
  <c r="CN11" i="4"/>
  <c r="CN10" i="4"/>
  <c r="CN9" i="4"/>
  <c r="CN8" i="4"/>
  <c r="IB14" i="2"/>
  <c r="IC14" i="2"/>
  <c r="Z24" i="3"/>
  <c r="AM22" i="2"/>
  <c r="CO9" i="4" l="1"/>
  <c r="B9" i="4"/>
  <c r="RM13" i="2" s="1"/>
  <c r="CP9" i="4"/>
  <c r="D9" i="4" s="1"/>
  <c r="RO13" i="2" s="1"/>
  <c r="CO13" i="4"/>
  <c r="CP13" i="4"/>
  <c r="D13" i="4" s="1"/>
  <c r="RO17" i="2" s="1"/>
  <c r="B13" i="4"/>
  <c r="RM17" i="2" s="1"/>
  <c r="CP17" i="4"/>
  <c r="D17" i="4" s="1"/>
  <c r="RO21" i="2" s="1"/>
  <c r="CO17" i="4"/>
  <c r="B17" i="4"/>
  <c r="RM21" i="2" s="1"/>
  <c r="CO21" i="4"/>
  <c r="CP21" i="4"/>
  <c r="D21" i="4" s="1"/>
  <c r="RO25" i="2" s="1"/>
  <c r="B21" i="4"/>
  <c r="RM25" i="2" s="1"/>
  <c r="B25" i="4"/>
  <c r="RM29" i="2" s="1"/>
  <c r="CO25" i="4"/>
  <c r="CP25" i="4"/>
  <c r="D25" i="4" s="1"/>
  <c r="RO29" i="2" s="1"/>
  <c r="CN26" i="4"/>
  <c r="BH36" i="3" s="1"/>
  <c r="CO8" i="4"/>
  <c r="CP8" i="4"/>
  <c r="B8" i="4"/>
  <c r="CP12" i="4"/>
  <c r="D12" i="4" s="1"/>
  <c r="RO16" i="2" s="1"/>
  <c r="CO12" i="4"/>
  <c r="B12" i="4"/>
  <c r="RM16" i="2" s="1"/>
  <c r="CP20" i="4"/>
  <c r="D20" i="4" s="1"/>
  <c r="RO24" i="2" s="1"/>
  <c r="CO20" i="4"/>
  <c r="B20" i="4"/>
  <c r="RM24" i="2" s="1"/>
  <c r="CO24" i="4"/>
  <c r="CP24" i="4"/>
  <c r="D24" i="4" s="1"/>
  <c r="RO28" i="2" s="1"/>
  <c r="B24" i="4"/>
  <c r="RM28" i="2" s="1"/>
  <c r="P27" i="1" s="1"/>
  <c r="AK22" i="2"/>
  <c r="AK30" i="2" s="1"/>
  <c r="AK37" i="2" s="1"/>
  <c r="AM30" i="2"/>
  <c r="AM37" i="2" s="1"/>
  <c r="IK14" i="2"/>
  <c r="IB30" i="2"/>
  <c r="IB37" i="2" s="1"/>
  <c r="HJ38" i="2" s="1"/>
  <c r="E371" i="8" s="1"/>
  <c r="IT14" i="2"/>
  <c r="HW14" i="2"/>
  <c r="CP11" i="4"/>
  <c r="D11" i="4" s="1"/>
  <c r="RO15" i="2" s="1"/>
  <c r="CO11" i="4"/>
  <c r="B11" i="4"/>
  <c r="RM15" i="2" s="1"/>
  <c r="CO15" i="4"/>
  <c r="CP15" i="4"/>
  <c r="D15" i="4" s="1"/>
  <c r="RO19" i="2" s="1"/>
  <c r="B15" i="4"/>
  <c r="RM19" i="2" s="1"/>
  <c r="CP19" i="4"/>
  <c r="D19" i="4" s="1"/>
  <c r="RO23" i="2" s="1"/>
  <c r="CO19" i="4"/>
  <c r="B19" i="4"/>
  <c r="RM23" i="2" s="1"/>
  <c r="CO23" i="4"/>
  <c r="CP23" i="4"/>
  <c r="D23" i="4" s="1"/>
  <c r="RO27" i="2" s="1"/>
  <c r="B23" i="4"/>
  <c r="RM27" i="2" s="1"/>
  <c r="B24" i="3"/>
  <c r="Z26" i="3"/>
  <c r="Z33" i="3" s="1"/>
  <c r="Z38" i="3" s="1"/>
  <c r="CO16" i="4"/>
  <c r="CP16" i="4"/>
  <c r="D16" i="4" s="1"/>
  <c r="RO20" i="2" s="1"/>
  <c r="B16" i="4"/>
  <c r="RM20" i="2" s="1"/>
  <c r="IL14" i="2"/>
  <c r="AD13" i="6"/>
  <c r="IC30" i="2"/>
  <c r="IC37" i="2" s="1"/>
  <c r="HK38" i="2" s="1"/>
  <c r="IU14" i="2"/>
  <c r="CN12" i="18"/>
  <c r="CO10" i="4"/>
  <c r="CP10" i="4"/>
  <c r="D10" i="4" s="1"/>
  <c r="RO14" i="2" s="1"/>
  <c r="B10" i="4"/>
  <c r="RM14" i="2" s="1"/>
  <c r="CO14" i="4"/>
  <c r="CP14" i="4"/>
  <c r="D14" i="4" s="1"/>
  <c r="RO18" i="2" s="1"/>
  <c r="B14" i="4"/>
  <c r="RM18" i="2" s="1"/>
  <c r="CO18" i="4"/>
  <c r="CP18" i="4"/>
  <c r="D18" i="4" s="1"/>
  <c r="RO22" i="2" s="1"/>
  <c r="B18" i="4"/>
  <c r="RM22" i="2" s="1"/>
  <c r="CP22" i="4"/>
  <c r="D22" i="4" s="1"/>
  <c r="RO26" i="2" s="1"/>
  <c r="CO22" i="4"/>
  <c r="B22" i="4"/>
  <c r="RM26" i="2" s="1"/>
  <c r="P21" i="1" l="1"/>
  <c r="AI22" i="2"/>
  <c r="AI18" i="2"/>
  <c r="P17" i="1"/>
  <c r="D12" i="18"/>
  <c r="CN28" i="18"/>
  <c r="CN35" i="18" s="1"/>
  <c r="CR12" i="18"/>
  <c r="AE13" i="6"/>
  <c r="IL30" i="2"/>
  <c r="IL37" i="2" s="1"/>
  <c r="HT38" i="2" s="1"/>
  <c r="JD14" i="2"/>
  <c r="CQ16" i="4"/>
  <c r="E16" i="4" s="1"/>
  <c r="RP20" i="2" s="1"/>
  <c r="C16" i="4"/>
  <c r="RN20" i="2" s="1"/>
  <c r="P18" i="1"/>
  <c r="AI19" i="2"/>
  <c r="P14" i="1"/>
  <c r="AI15" i="2"/>
  <c r="IF14" i="2"/>
  <c r="IF30" i="2" s="1"/>
  <c r="IF37" i="2" s="1"/>
  <c r="AR47" i="1" s="1"/>
  <c r="IK30" i="2"/>
  <c r="IK37" i="2" s="1"/>
  <c r="HS38" i="2" s="1"/>
  <c r="JC14" i="2"/>
  <c r="P23" i="1"/>
  <c r="AI24" i="2"/>
  <c r="P15" i="1"/>
  <c r="AI16" i="2"/>
  <c r="RM12" i="2"/>
  <c r="B26" i="4"/>
  <c r="BH38" i="3"/>
  <c r="E30" i="8" s="1"/>
  <c r="B36" i="3"/>
  <c r="P28" i="1"/>
  <c r="AI29" i="2"/>
  <c r="C21" i="4"/>
  <c r="RN25" i="2" s="1"/>
  <c r="CQ21" i="4"/>
  <c r="E21" i="4" s="1"/>
  <c r="RP25" i="2" s="1"/>
  <c r="C13" i="4"/>
  <c r="RN17" i="2" s="1"/>
  <c r="CQ13" i="4"/>
  <c r="E13" i="4" s="1"/>
  <c r="RP17" i="2" s="1"/>
  <c r="C9" i="4"/>
  <c r="RN13" i="2" s="1"/>
  <c r="CQ9" i="4"/>
  <c r="E9" i="4" s="1"/>
  <c r="RP13" i="2" s="1"/>
  <c r="AI14" i="2"/>
  <c r="CQ18" i="4"/>
  <c r="E18" i="4" s="1"/>
  <c r="RP22" i="2" s="1"/>
  <c r="C18" i="4"/>
  <c r="RN22" i="2" s="1"/>
  <c r="CQ14" i="4"/>
  <c r="E14" i="4" s="1"/>
  <c r="RP18" i="2" s="1"/>
  <c r="C14" i="4"/>
  <c r="RN18" i="2" s="1"/>
  <c r="CQ10" i="4"/>
  <c r="E10" i="4" s="1"/>
  <c r="RP14" i="2" s="1"/>
  <c r="C10" i="4"/>
  <c r="RN14" i="2" s="1"/>
  <c r="AD29" i="6"/>
  <c r="AD36" i="6" s="1"/>
  <c r="D13" i="6"/>
  <c r="RK28" i="2"/>
  <c r="B26" i="3"/>
  <c r="B33" i="3" s="1"/>
  <c r="B38" i="3" s="1"/>
  <c r="CQ23" i="4"/>
  <c r="E23" i="4" s="1"/>
  <c r="RP27" i="2" s="1"/>
  <c r="C23" i="4"/>
  <c r="RN27" i="2" s="1"/>
  <c r="C15" i="4"/>
  <c r="RN19" i="2" s="1"/>
  <c r="CQ15" i="4"/>
  <c r="E15" i="4" s="1"/>
  <c r="RP19" i="2" s="1"/>
  <c r="E372" i="8"/>
  <c r="E373" i="8" s="1"/>
  <c r="G371" i="8"/>
  <c r="C24" i="4"/>
  <c r="RN28" i="2" s="1"/>
  <c r="CQ24" i="4"/>
  <c r="E24" i="4" s="1"/>
  <c r="RP28" i="2" s="1"/>
  <c r="CQ8" i="4"/>
  <c r="CO26" i="4"/>
  <c r="BI36" i="3" s="1"/>
  <c r="C8" i="4"/>
  <c r="CQ25" i="4"/>
  <c r="E25" i="4" s="1"/>
  <c r="RP29" i="2" s="1"/>
  <c r="C25" i="4"/>
  <c r="RN29" i="2" s="1"/>
  <c r="CQ17" i="4"/>
  <c r="E17" i="4" s="1"/>
  <c r="RP21" i="2" s="1"/>
  <c r="C17" i="4"/>
  <c r="RN21" i="2" s="1"/>
  <c r="P12" i="1"/>
  <c r="AI13" i="2"/>
  <c r="CQ22" i="4"/>
  <c r="E22" i="4" s="1"/>
  <c r="RP26" i="2" s="1"/>
  <c r="C22" i="4"/>
  <c r="RN26" i="2" s="1"/>
  <c r="E374" i="8"/>
  <c r="B19" i="7"/>
  <c r="B38" i="7" s="1"/>
  <c r="B61" i="7" s="1"/>
  <c r="C19" i="4"/>
  <c r="RN23" i="2" s="1"/>
  <c r="CQ19" i="4"/>
  <c r="E19" i="4" s="1"/>
  <c r="RP23" i="2" s="1"/>
  <c r="C11" i="4"/>
  <c r="RN15" i="2" s="1"/>
  <c r="CQ11" i="4"/>
  <c r="E11" i="4" s="1"/>
  <c r="RP15" i="2" s="1"/>
  <c r="IT30" i="2"/>
  <c r="IT37" i="2" s="1"/>
  <c r="IO14" i="2"/>
  <c r="IO30" i="2" s="1"/>
  <c r="IO37" i="2" s="1"/>
  <c r="CQ20" i="4"/>
  <c r="E20" i="4" s="1"/>
  <c r="RP24" i="2" s="1"/>
  <c r="C20" i="4"/>
  <c r="RN24" i="2" s="1"/>
  <c r="CQ12" i="4"/>
  <c r="E12" i="4" s="1"/>
  <c r="RP16" i="2" s="1"/>
  <c r="C12" i="4"/>
  <c r="RN16" i="2" s="1"/>
  <c r="CP26" i="4"/>
  <c r="D8" i="4"/>
  <c r="P25" i="1"/>
  <c r="AI26" i="2"/>
  <c r="CP12" i="18"/>
  <c r="IU30" i="2"/>
  <c r="IU37" i="2" s="1"/>
  <c r="P19" i="1"/>
  <c r="AI20" i="2"/>
  <c r="P26" i="1"/>
  <c r="AI27" i="2"/>
  <c r="P22" i="1"/>
  <c r="AI23" i="2"/>
  <c r="HW30" i="2"/>
  <c r="HW37" i="2" s="1"/>
  <c r="N47" i="1" s="1"/>
  <c r="P13" i="1"/>
  <c r="N27" i="1"/>
  <c r="V27" i="1"/>
  <c r="P24" i="1"/>
  <c r="AI25" i="2"/>
  <c r="P20" i="1"/>
  <c r="AI21" i="2"/>
  <c r="P16" i="1"/>
  <c r="AI17" i="2"/>
  <c r="AM38" i="2"/>
  <c r="E511" i="8" s="1"/>
  <c r="D16" i="1" l="1"/>
  <c r="J16" i="1" s="1"/>
  <c r="B17" i="2"/>
  <c r="D24" i="1"/>
  <c r="J24" i="1" s="1"/>
  <c r="B25" i="2"/>
  <c r="V26" i="1"/>
  <c r="N26" i="1"/>
  <c r="F12" i="18"/>
  <c r="F28" i="18" s="1"/>
  <c r="CP28" i="18"/>
  <c r="CP35" i="18" s="1"/>
  <c r="CN36" i="18" s="1"/>
  <c r="AT23" i="1"/>
  <c r="AJ24" i="2"/>
  <c r="CQ26" i="4"/>
  <c r="E8" i="4"/>
  <c r="G373" i="8"/>
  <c r="E477" i="8"/>
  <c r="AT17" i="1"/>
  <c r="AJ18" i="2"/>
  <c r="AT21" i="1"/>
  <c r="AJ22" i="2"/>
  <c r="AT16" i="1"/>
  <c r="AJ17" i="2"/>
  <c r="D28" i="1"/>
  <c r="J28" i="1" s="1"/>
  <c r="B29" i="2"/>
  <c r="D23" i="1"/>
  <c r="J23" i="1" s="1"/>
  <c r="B24" i="2"/>
  <c r="HS42" i="2"/>
  <c r="F371" i="8"/>
  <c r="D14" i="1"/>
  <c r="J14" i="1" s="1"/>
  <c r="B15" i="2"/>
  <c r="C19" i="7"/>
  <c r="C38" i="7" s="1"/>
  <c r="C61" i="7" s="1"/>
  <c r="F374" i="8"/>
  <c r="HT42" i="2"/>
  <c r="D28" i="18"/>
  <c r="B12" i="18"/>
  <c r="N21" i="1"/>
  <c r="V21" i="1"/>
  <c r="N20" i="1"/>
  <c r="V20" i="1"/>
  <c r="V13" i="1"/>
  <c r="N13" i="1"/>
  <c r="D26" i="1"/>
  <c r="J26" i="1" s="1"/>
  <c r="B27" i="2"/>
  <c r="D26" i="4"/>
  <c r="RO12" i="2"/>
  <c r="RO30" i="2" s="1"/>
  <c r="RO37" i="2" s="1"/>
  <c r="AT25" i="1"/>
  <c r="AJ26" i="2"/>
  <c r="AT20" i="1"/>
  <c r="AJ21" i="2"/>
  <c r="AT28" i="1"/>
  <c r="AJ29" i="2"/>
  <c r="BI38" i="3"/>
  <c r="C36" i="3"/>
  <c r="C38" i="3" s="1"/>
  <c r="AT27" i="1"/>
  <c r="AJ28" i="2"/>
  <c r="AT26" i="1"/>
  <c r="AJ27" i="2"/>
  <c r="D29" i="6"/>
  <c r="D36" i="6" s="1"/>
  <c r="B13" i="6"/>
  <c r="B29" i="6" s="1"/>
  <c r="B36" i="6" s="1"/>
  <c r="B37" i="6" s="1"/>
  <c r="AT24" i="1"/>
  <c r="AJ25" i="2"/>
  <c r="G30" i="8"/>
  <c r="E31" i="8"/>
  <c r="E32" i="8" s="1"/>
  <c r="E8" i="8"/>
  <c r="N15" i="1"/>
  <c r="V15" i="1"/>
  <c r="JC30" i="2"/>
  <c r="JC37" i="2" s="1"/>
  <c r="IX14" i="2"/>
  <c r="IX30" i="2" s="1"/>
  <c r="IX37" i="2" s="1"/>
  <c r="V18" i="1"/>
  <c r="N18" i="1"/>
  <c r="JD30" i="2"/>
  <c r="JD37" i="2" s="1"/>
  <c r="CT12" i="18"/>
  <c r="B22" i="2"/>
  <c r="D21" i="1"/>
  <c r="J21" i="1" s="1"/>
  <c r="D20" i="1"/>
  <c r="J20" i="1" s="1"/>
  <c r="B21" i="2"/>
  <c r="N22" i="1"/>
  <c r="V22" i="1"/>
  <c r="N19" i="1"/>
  <c r="V19" i="1"/>
  <c r="V25" i="1"/>
  <c r="N25" i="1"/>
  <c r="AT15" i="1"/>
  <c r="AJ16" i="2"/>
  <c r="AT14" i="1"/>
  <c r="AJ15" i="2"/>
  <c r="N12" i="1"/>
  <c r="V12" i="1"/>
  <c r="E476" i="8"/>
  <c r="AI28" i="2"/>
  <c r="RK30" i="2"/>
  <c r="RK37" i="2" s="1"/>
  <c r="D13" i="1"/>
  <c r="J13" i="1" s="1"/>
  <c r="B14" i="2"/>
  <c r="B16" i="2"/>
  <c r="D15" i="1"/>
  <c r="J15" i="1" s="1"/>
  <c r="D18" i="1"/>
  <c r="J18" i="1" s="1"/>
  <c r="B19" i="2"/>
  <c r="H12" i="18"/>
  <c r="CR28" i="18"/>
  <c r="CR35" i="18" s="1"/>
  <c r="D17" i="1"/>
  <c r="J17" i="1" s="1"/>
  <c r="B18" i="2"/>
  <c r="N16" i="1"/>
  <c r="V16" i="1"/>
  <c r="N24" i="1"/>
  <c r="V24" i="1"/>
  <c r="T27" i="1"/>
  <c r="BK27" i="1"/>
  <c r="B23" i="2"/>
  <c r="D22" i="1"/>
  <c r="J22" i="1" s="1"/>
  <c r="B20" i="2"/>
  <c r="D19" i="1"/>
  <c r="J19" i="1" s="1"/>
  <c r="D25" i="1"/>
  <c r="J25" i="1" s="1"/>
  <c r="B26" i="2"/>
  <c r="AT22" i="1"/>
  <c r="AJ23" i="2"/>
  <c r="E346" i="8"/>
  <c r="G374" i="8"/>
  <c r="E375" i="8"/>
  <c r="E485" i="8" s="1"/>
  <c r="D12" i="1"/>
  <c r="J12" i="1" s="1"/>
  <c r="B13" i="2"/>
  <c r="RN12" i="2"/>
  <c r="C26" i="4"/>
  <c r="G372" i="8"/>
  <c r="I372" i="8" s="1"/>
  <c r="I371" i="8"/>
  <c r="AT18" i="1"/>
  <c r="AJ19" i="2"/>
  <c r="AT13" i="1"/>
  <c r="AJ14" i="2"/>
  <c r="AT12" i="1"/>
  <c r="AJ13" i="2"/>
  <c r="V28" i="1"/>
  <c r="N28" i="1"/>
  <c r="P11" i="1"/>
  <c r="RM30" i="2"/>
  <c r="RM37" i="2" s="1"/>
  <c r="AI12" i="2"/>
  <c r="V23" i="1"/>
  <c r="N23" i="1"/>
  <c r="V14" i="1"/>
  <c r="N14" i="1"/>
  <c r="AT19" i="1"/>
  <c r="AJ20" i="2"/>
  <c r="E13" i="6"/>
  <c r="AE29" i="6"/>
  <c r="AE36" i="6" s="1"/>
  <c r="N17" i="1"/>
  <c r="V17" i="1"/>
  <c r="E376" i="8" l="1"/>
  <c r="G376" i="8" s="1"/>
  <c r="G348" i="8" s="1"/>
  <c r="I348" i="8" s="1"/>
  <c r="AZ19" i="1"/>
  <c r="AX19" i="1" s="1"/>
  <c r="AR19" i="1"/>
  <c r="C14" i="2"/>
  <c r="AF13" i="1" s="1"/>
  <c r="AH13" i="1"/>
  <c r="AN13" i="1" s="1"/>
  <c r="E486" i="8"/>
  <c r="E488" i="8" s="1"/>
  <c r="AH22" i="1"/>
  <c r="AN22" i="1" s="1"/>
  <c r="C23" i="2"/>
  <c r="AF22" i="1" s="1"/>
  <c r="BK24" i="1"/>
  <c r="T24" i="1"/>
  <c r="H28" i="18"/>
  <c r="AZ14" i="1"/>
  <c r="AX14" i="1" s="1"/>
  <c r="AR14" i="1"/>
  <c r="BK25" i="1"/>
  <c r="T25" i="1"/>
  <c r="G32" i="8"/>
  <c r="E10" i="8"/>
  <c r="AR24" i="1"/>
  <c r="AZ24" i="1"/>
  <c r="AX24" i="1" s="1"/>
  <c r="AR26" i="1"/>
  <c r="AZ26" i="1"/>
  <c r="AX26" i="1" s="1"/>
  <c r="AZ27" i="1"/>
  <c r="AX27" i="1" s="1"/>
  <c r="AR27" i="1"/>
  <c r="AR28" i="1"/>
  <c r="AZ28" i="1"/>
  <c r="AX28" i="1" s="1"/>
  <c r="AR25" i="1"/>
  <c r="AZ25" i="1"/>
  <c r="AX25" i="1" s="1"/>
  <c r="H374" i="8"/>
  <c r="F375" i="8"/>
  <c r="B14" i="1"/>
  <c r="H14" i="1" s="1"/>
  <c r="B23" i="1"/>
  <c r="H23" i="1" s="1"/>
  <c r="C17" i="2"/>
  <c r="AF16" i="1" s="1"/>
  <c r="AH16" i="1"/>
  <c r="AN16" i="1" s="1"/>
  <c r="AH17" i="1"/>
  <c r="AN17" i="1" s="1"/>
  <c r="C18" i="2"/>
  <c r="AF17" i="1" s="1"/>
  <c r="I373" i="8"/>
  <c r="AR23" i="1"/>
  <c r="AZ23" i="1"/>
  <c r="AX23" i="1" s="1"/>
  <c r="F35" i="18"/>
  <c r="F40" i="18" s="1"/>
  <c r="F38" i="18"/>
  <c r="C20" i="2"/>
  <c r="AF19" i="1" s="1"/>
  <c r="AL19" i="1" s="1"/>
  <c r="AH19" i="1"/>
  <c r="AN19" i="1" s="1"/>
  <c r="N11" i="1"/>
  <c r="N29" i="1" s="1"/>
  <c r="N36" i="1" s="1"/>
  <c r="V11" i="1"/>
  <c r="P29" i="1"/>
  <c r="P36" i="1" s="1"/>
  <c r="AZ18" i="1"/>
  <c r="AX18" i="1" s="1"/>
  <c r="AR18" i="1"/>
  <c r="B22" i="1"/>
  <c r="H22" i="1" s="1"/>
  <c r="B15" i="1"/>
  <c r="H15" i="1" s="1"/>
  <c r="BK12" i="1"/>
  <c r="T12" i="1"/>
  <c r="AH14" i="1"/>
  <c r="AN14" i="1" s="1"/>
  <c r="C15" i="2"/>
  <c r="AF14" i="1" s="1"/>
  <c r="AL14" i="1" s="1"/>
  <c r="T22" i="1"/>
  <c r="BK22" i="1"/>
  <c r="J12" i="18"/>
  <c r="J28" i="18" s="1"/>
  <c r="CT28" i="18"/>
  <c r="CT35" i="18" s="1"/>
  <c r="CR36" i="18" s="1"/>
  <c r="C25" i="2"/>
  <c r="AF24" i="1" s="1"/>
  <c r="AL24" i="1" s="1"/>
  <c r="AH24" i="1"/>
  <c r="AN24" i="1" s="1"/>
  <c r="C27" i="2"/>
  <c r="AF26" i="1" s="1"/>
  <c r="AL26" i="1" s="1"/>
  <c r="AH26" i="1"/>
  <c r="AN26" i="1" s="1"/>
  <c r="C28" i="2"/>
  <c r="AF27" i="1" s="1"/>
  <c r="AL27" i="1" s="1"/>
  <c r="AH27" i="1"/>
  <c r="AN27" i="1" s="1"/>
  <c r="C29" i="2"/>
  <c r="AF28" i="1" s="1"/>
  <c r="AL28" i="1" s="1"/>
  <c r="AH28" i="1"/>
  <c r="AN28" i="1" s="1"/>
  <c r="C26" i="2"/>
  <c r="AF25" i="1" s="1"/>
  <c r="AL25" i="1" s="1"/>
  <c r="AH25" i="1"/>
  <c r="AN25" i="1" s="1"/>
  <c r="B26" i="1"/>
  <c r="H26" i="1" s="1"/>
  <c r="T21" i="1"/>
  <c r="BK21" i="1"/>
  <c r="AZ21" i="1"/>
  <c r="AX21" i="1" s="1"/>
  <c r="AR21" i="1"/>
  <c r="C24" i="2"/>
  <c r="AF23" i="1" s="1"/>
  <c r="AL23" i="1" s="1"/>
  <c r="AH23" i="1"/>
  <c r="AN23" i="1" s="1"/>
  <c r="B16" i="1"/>
  <c r="H16" i="1" s="1"/>
  <c r="E461" i="8"/>
  <c r="C13" i="2"/>
  <c r="AF12" i="1" s="1"/>
  <c r="AH12" i="1"/>
  <c r="AN12" i="1" s="1"/>
  <c r="T17" i="1"/>
  <c r="BK17" i="1"/>
  <c r="C13" i="6"/>
  <c r="C29" i="6" s="1"/>
  <c r="C36" i="6" s="1"/>
  <c r="E29" i="6"/>
  <c r="E36" i="6" s="1"/>
  <c r="BK14" i="1"/>
  <c r="T14" i="1"/>
  <c r="N54" i="1"/>
  <c r="N58" i="1" s="1"/>
  <c r="AI46" i="2"/>
  <c r="AH18" i="1"/>
  <c r="AN18" i="1" s="1"/>
  <c r="C19" i="2"/>
  <c r="AF18" i="1" s="1"/>
  <c r="AL18" i="1" s="1"/>
  <c r="B12" i="1"/>
  <c r="H12" i="1" s="1"/>
  <c r="G346" i="8"/>
  <c r="I346" i="8" s="1"/>
  <c r="G375" i="8"/>
  <c r="I374" i="8"/>
  <c r="B25" i="1"/>
  <c r="H25" i="1" s="1"/>
  <c r="BK16" i="1"/>
  <c r="T16" i="1"/>
  <c r="B13" i="1"/>
  <c r="H13" i="1" s="1"/>
  <c r="AR15" i="1"/>
  <c r="AZ15" i="1"/>
  <c r="AX15" i="1" s="1"/>
  <c r="B21" i="1"/>
  <c r="H21" i="1" s="1"/>
  <c r="BK18" i="1"/>
  <c r="T18" i="1"/>
  <c r="I30" i="8"/>
  <c r="G8" i="8"/>
  <c r="D37" i="6"/>
  <c r="BI40" i="3"/>
  <c r="F30" i="8"/>
  <c r="AR20" i="1"/>
  <c r="AZ20" i="1"/>
  <c r="AX20" i="1" s="1"/>
  <c r="T13" i="1"/>
  <c r="BK13" i="1"/>
  <c r="B28" i="18"/>
  <c r="D38" i="18"/>
  <c r="D35" i="18"/>
  <c r="F372" i="8"/>
  <c r="F373" i="8" s="1"/>
  <c r="F346" i="8"/>
  <c r="H346" i="8" s="1"/>
  <c r="H371" i="8"/>
  <c r="B28" i="1"/>
  <c r="H28" i="1" s="1"/>
  <c r="AH21" i="1"/>
  <c r="AN21" i="1" s="1"/>
  <c r="C22" i="2"/>
  <c r="AF21" i="1" s="1"/>
  <c r="AL21" i="1" s="1"/>
  <c r="BK26" i="1"/>
  <c r="T26" i="1"/>
  <c r="E348" i="8"/>
  <c r="BK23" i="1"/>
  <c r="T23" i="1"/>
  <c r="AI30" i="2"/>
  <c r="D11" i="1"/>
  <c r="B12" i="2"/>
  <c r="BK28" i="1"/>
  <c r="T28" i="1"/>
  <c r="AZ12" i="1"/>
  <c r="AX12" i="1" s="1"/>
  <c r="AR12" i="1"/>
  <c r="AZ13" i="1"/>
  <c r="AX13" i="1" s="1"/>
  <c r="AR13" i="1"/>
  <c r="AT11" i="1"/>
  <c r="RN30" i="2"/>
  <c r="RN37" i="2" s="1"/>
  <c r="AJ12" i="2"/>
  <c r="AR22" i="1"/>
  <c r="AZ22" i="1"/>
  <c r="AX22" i="1" s="1"/>
  <c r="B19" i="1"/>
  <c r="H19" i="1" s="1"/>
  <c r="B17" i="1"/>
  <c r="H17" i="1" s="1"/>
  <c r="B18" i="1"/>
  <c r="H18" i="1" s="1"/>
  <c r="B28" i="2"/>
  <c r="D27" i="1"/>
  <c r="J27" i="1" s="1"/>
  <c r="C16" i="2"/>
  <c r="AF15" i="1" s="1"/>
  <c r="AH15" i="1"/>
  <c r="AN15" i="1" s="1"/>
  <c r="T19" i="1"/>
  <c r="BK19" i="1"/>
  <c r="B20" i="1"/>
  <c r="H20" i="1" s="1"/>
  <c r="T15" i="1"/>
  <c r="BK15" i="1"/>
  <c r="G31" i="8"/>
  <c r="E9" i="8"/>
  <c r="C21" i="2"/>
  <c r="AF20" i="1" s="1"/>
  <c r="AL20" i="1" s="1"/>
  <c r="AH20" i="1"/>
  <c r="AN20" i="1" s="1"/>
  <c r="T20" i="1"/>
  <c r="BK20" i="1"/>
  <c r="AR16" i="1"/>
  <c r="AZ16" i="1"/>
  <c r="AX16" i="1" s="1"/>
  <c r="AZ17" i="1"/>
  <c r="AX17" i="1" s="1"/>
  <c r="AR17" i="1"/>
  <c r="E26" i="4"/>
  <c r="RP12" i="2"/>
  <c r="RP30" i="2" s="1"/>
  <c r="RP37" i="2" s="1"/>
  <c r="B24" i="1"/>
  <c r="H24" i="1" s="1"/>
  <c r="E347" i="8"/>
  <c r="AL15" i="1" l="1"/>
  <c r="D28" i="16"/>
  <c r="E462" i="8"/>
  <c r="C15" i="15" s="1"/>
  <c r="E15" i="15" s="1"/>
  <c r="B27" i="1"/>
  <c r="H27" i="1" s="1"/>
  <c r="AI37" i="2"/>
  <c r="AI45" i="2"/>
  <c r="B45" i="2" s="1"/>
  <c r="F31" i="8"/>
  <c r="H30" i="8"/>
  <c r="F8" i="8"/>
  <c r="I8" i="8"/>
  <c r="G461" i="8"/>
  <c r="C37" i="6"/>
  <c r="C39" i="6"/>
  <c r="I32" i="8"/>
  <c r="G10" i="8"/>
  <c r="AL12" i="1"/>
  <c r="I31" i="8"/>
  <c r="G9" i="8"/>
  <c r="AZ11" i="1"/>
  <c r="AR11" i="1"/>
  <c r="AR29" i="1" s="1"/>
  <c r="AR36" i="1" s="1"/>
  <c r="AT29" i="1"/>
  <c r="AT36" i="1" s="1"/>
  <c r="J11" i="1"/>
  <c r="J29" i="1" s="1"/>
  <c r="D29" i="1"/>
  <c r="D36" i="1" s="1"/>
  <c r="F477" i="8"/>
  <c r="H373" i="8"/>
  <c r="D36" i="18"/>
  <c r="D40" i="18"/>
  <c r="D37" i="18"/>
  <c r="B35" i="18"/>
  <c r="B46" i="2"/>
  <c r="B48" i="2" s="1"/>
  <c r="AI48" i="2"/>
  <c r="E37" i="6"/>
  <c r="E466" i="8"/>
  <c r="N38" i="1"/>
  <c r="N37" i="1"/>
  <c r="F485" i="8"/>
  <c r="H375" i="8"/>
  <c r="G486" i="8"/>
  <c r="I376" i="8"/>
  <c r="E463" i="8"/>
  <c r="E465" i="8" s="1"/>
  <c r="AR54" i="1"/>
  <c r="AJ46" i="2"/>
  <c r="B30" i="2"/>
  <c r="B37" i="2" s="1"/>
  <c r="B11" i="1"/>
  <c r="H372" i="8"/>
  <c r="F476" i="8"/>
  <c r="F347" i="8"/>
  <c r="H347" i="8" s="1"/>
  <c r="J38" i="18"/>
  <c r="J35" i="18"/>
  <c r="J40" i="18" s="1"/>
  <c r="V29" i="1"/>
  <c r="T11" i="1"/>
  <c r="T29" i="1" s="1"/>
  <c r="T36" i="1" s="1"/>
  <c r="K63" i="1" s="1"/>
  <c r="BK11" i="1"/>
  <c r="AL17" i="1"/>
  <c r="F376" i="8"/>
  <c r="C12" i="18"/>
  <c r="AL13" i="1"/>
  <c r="AH11" i="1"/>
  <c r="AJ30" i="2"/>
  <c r="C12" i="2"/>
  <c r="G347" i="8"/>
  <c r="I347" i="8" s="1"/>
  <c r="I375" i="8"/>
  <c r="G485" i="8"/>
  <c r="G488" i="8" s="1"/>
  <c r="H35" i="18"/>
  <c r="C28" i="18"/>
  <c r="H38" i="18"/>
  <c r="AL16" i="1"/>
  <c r="AL22" i="1"/>
  <c r="AR58" i="1" l="1"/>
  <c r="E468" i="8"/>
  <c r="B49" i="2"/>
  <c r="H40" i="18"/>
  <c r="H37" i="18"/>
  <c r="C35" i="18"/>
  <c r="H36" i="18"/>
  <c r="AF11" i="1"/>
  <c r="C30" i="2"/>
  <c r="C37" i="2" s="1"/>
  <c r="BK29" i="1"/>
  <c r="V36" i="1"/>
  <c r="C46" i="2"/>
  <c r="C48" i="2" s="1"/>
  <c r="AJ48" i="2"/>
  <c r="AZ29" i="1"/>
  <c r="AZ36" i="1" s="1"/>
  <c r="L70" i="1" s="1"/>
  <c r="AX11" i="1"/>
  <c r="AX29" i="1" s="1"/>
  <c r="AX36" i="1" s="1"/>
  <c r="L63" i="1" s="1"/>
  <c r="I10" i="8"/>
  <c r="G463" i="8"/>
  <c r="F461" i="8"/>
  <c r="H8" i="8"/>
  <c r="G469" i="8"/>
  <c r="AR37" i="1"/>
  <c r="AR38" i="1"/>
  <c r="AI49" i="2"/>
  <c r="F486" i="8"/>
  <c r="E28" i="16" s="1"/>
  <c r="H376" i="8"/>
  <c r="AH29" i="1"/>
  <c r="AH36" i="1" s="1"/>
  <c r="AN11" i="1"/>
  <c r="AN29" i="1" s="1"/>
  <c r="B29" i="1"/>
  <c r="B36" i="1" s="1"/>
  <c r="B37" i="1" s="1"/>
  <c r="H11" i="1"/>
  <c r="H29" i="1" s="1"/>
  <c r="I461" i="8"/>
  <c r="E19" i="9"/>
  <c r="E21" i="9" s="1"/>
  <c r="F32" i="8"/>
  <c r="H31" i="8"/>
  <c r="F9" i="8"/>
  <c r="F348" i="8"/>
  <c r="H348" i="8" s="1"/>
  <c r="AJ37" i="2"/>
  <c r="AJ45" i="2"/>
  <c r="C45" i="2" s="1"/>
  <c r="E470" i="8"/>
  <c r="C16" i="15"/>
  <c r="E16" i="15" s="1"/>
  <c r="D27" i="16"/>
  <c r="F70" i="1"/>
  <c r="J36" i="1"/>
  <c r="I9" i="8"/>
  <c r="G462" i="8"/>
  <c r="I462" i="8" s="1"/>
  <c r="L78" i="1" l="1"/>
  <c r="H32" i="8"/>
  <c r="F10" i="8"/>
  <c r="F466" i="8"/>
  <c r="H461" i="8"/>
  <c r="AJ39" i="2"/>
  <c r="C38" i="2" s="1"/>
  <c r="AJ49" i="2"/>
  <c r="F63" i="1"/>
  <c r="H36" i="1"/>
  <c r="AF29" i="1"/>
  <c r="AF36" i="1" s="1"/>
  <c r="AF37" i="1" s="1"/>
  <c r="AL11" i="1"/>
  <c r="AL29" i="1" s="1"/>
  <c r="F488" i="8"/>
  <c r="F494" i="8" s="1"/>
  <c r="F502" i="8"/>
  <c r="C40" i="2"/>
  <c r="C49" i="2"/>
  <c r="H9" i="8"/>
  <c r="F462" i="8"/>
  <c r="AN36" i="1"/>
  <c r="H70" i="1"/>
  <c r="C70" i="1" s="1"/>
  <c r="I463" i="8"/>
  <c r="I465" i="8" s="1"/>
  <c r="F27" i="16"/>
  <c r="K70" i="1"/>
  <c r="K78" i="1" s="1"/>
  <c r="BK36" i="1"/>
  <c r="G465" i="8"/>
  <c r="B70" i="1" l="1"/>
  <c r="D15" i="15"/>
  <c r="H462" i="8"/>
  <c r="F468" i="8"/>
  <c r="AL36" i="1"/>
  <c r="H63" i="1"/>
  <c r="F463" i="8"/>
  <c r="H10" i="8"/>
  <c r="F78" i="1"/>
  <c r="B63" i="1"/>
  <c r="B78" i="1" s="1"/>
  <c r="H38" i="1"/>
  <c r="H37" i="1"/>
  <c r="H78" i="1" l="1"/>
  <c r="C63" i="1"/>
  <c r="C78" i="1" s="1"/>
  <c r="H465" i="8"/>
  <c r="E27" i="16"/>
  <c r="H463" i="8"/>
  <c r="D16" i="15"/>
  <c r="F470" i="8"/>
  <c r="AL38" i="1"/>
  <c r="AL37" i="1"/>
  <c r="F465" i="8"/>
  <c r="AI38" i="2" l="1"/>
  <c r="B38" i="2" s="1"/>
  <c r="D8" i="15" l="1"/>
  <c r="F11" i="13"/>
  <c r="G11" i="13"/>
  <c r="D11" i="15" l="1"/>
  <c r="D9" i="15" s="1"/>
  <c r="I11" i="13"/>
  <c r="I17" i="13" l="1"/>
  <c r="D23" i="15" l="1"/>
  <c r="D25" i="15" s="1"/>
  <c r="F17" i="13"/>
  <c r="G17" i="13"/>
  <c r="E17" i="13"/>
  <c r="C23" i="15" l="1"/>
  <c r="B17" i="13"/>
  <c r="C17" i="13"/>
  <c r="B23" i="15" l="1"/>
  <c r="C25" i="15"/>
  <c r="B25" i="15" l="1"/>
  <c r="E23" i="15"/>
  <c r="E25" i="15" s="1"/>
  <c r="E15" i="13" l="1"/>
  <c r="B15" i="13" l="1"/>
  <c r="C19" i="15"/>
  <c r="C15" i="13"/>
  <c r="C21" i="15" l="1"/>
  <c r="B19" i="15"/>
  <c r="E19" i="15" l="1"/>
  <c r="E21" i="15" s="1"/>
  <c r="B21" i="15"/>
  <c r="H17" i="13" l="1"/>
  <c r="D17" i="13"/>
  <c r="D15" i="13" l="1"/>
  <c r="H15" i="13" l="1"/>
  <c r="I15" i="13" l="1"/>
  <c r="F15" i="13" l="1"/>
  <c r="D19" i="15"/>
  <c r="D21" i="15" s="1"/>
  <c r="G15" i="13"/>
  <c r="B11" i="13" l="1"/>
  <c r="C8" i="15"/>
  <c r="C11" i="13"/>
  <c r="C11" i="15" l="1"/>
  <c r="C9" i="15" s="1"/>
  <c r="B8" i="15"/>
  <c r="E11" i="13"/>
  <c r="B11" i="15" l="1"/>
  <c r="B9" i="15" s="1"/>
  <c r="E8" i="15"/>
  <c r="E11" i="15" s="1"/>
  <c r="E9" i="15" s="1"/>
  <c r="E13" i="13" l="1"/>
  <c r="E19" i="13" s="1"/>
  <c r="E21" i="13" s="1"/>
  <c r="I13" i="13" l="1"/>
  <c r="I19" i="13" s="1"/>
  <c r="I21" i="13" s="1"/>
  <c r="A39" i="2" l="1"/>
  <c r="D13" i="13"/>
  <c r="D19" i="13" s="1"/>
  <c r="D21" i="13" s="1"/>
  <c r="B13" i="13" l="1"/>
  <c r="B19" i="13" s="1"/>
  <c r="C13" i="15"/>
  <c r="H13" i="13"/>
  <c r="H19" i="13" s="1"/>
  <c r="H21" i="13" s="1"/>
  <c r="C13" i="13"/>
  <c r="C19" i="13" s="1"/>
  <c r="C21" i="13" s="1"/>
  <c r="B22" i="13" l="1"/>
  <c r="C22" i="13"/>
  <c r="B21" i="13"/>
  <c r="B13" i="15"/>
  <c r="C14" i="15"/>
  <c r="C27" i="15"/>
  <c r="C28" i="15" s="1"/>
  <c r="F13" i="13"/>
  <c r="F19" i="13" s="1"/>
  <c r="D13" i="15"/>
  <c r="G13" i="13"/>
  <c r="G19" i="13" s="1"/>
  <c r="G21" i="13" s="1"/>
  <c r="F21" i="13" l="1"/>
  <c r="F22" i="13"/>
  <c r="G22" i="13"/>
  <c r="D14" i="15"/>
  <c r="D27" i="15"/>
  <c r="D28" i="15" s="1"/>
  <c r="B14" i="15"/>
  <c r="E14" i="15" s="1"/>
  <c r="E13" i="15"/>
  <c r="E27" i="15" s="1"/>
  <c r="E28" i="15" s="1"/>
  <c r="B27" i="15"/>
  <c r="F506" i="8" l="1"/>
  <c r="G508" i="8" l="1"/>
  <c r="G506" i="8"/>
  <c r="G38" i="11" l="1"/>
  <c r="B39" i="2" l="1"/>
</calcChain>
</file>

<file path=xl/sharedStrings.xml><?xml version="1.0" encoding="utf-8"?>
<sst xmlns="http://schemas.openxmlformats.org/spreadsheetml/2006/main" count="2910" uniqueCount="868">
  <si>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</si>
  <si>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</si>
  <si>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</si>
  <si>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</si>
  <si>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</si>
  <si>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</si>
  <si>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</si>
  <si>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</si>
  <si>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</si>
  <si>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Дотации на поддержку мер по обеспечению сбалансированности местных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</si>
  <si>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</si>
  <si>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</si>
  <si>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</si>
  <si>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</si>
  <si>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</si>
  <si>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</si>
  <si>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</si>
  <si>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</si>
  <si>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</si>
  <si>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</si>
  <si>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</si>
  <si>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</si>
  <si>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</si>
  <si>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</si>
  <si>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</si>
  <si>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</si>
  <si>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деятельности органов местного самоуправления городских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</si>
  <si>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в  рамках  государственных  программ</t>
  </si>
  <si>
    <t>в  рамках  непрограммной  деятельности</t>
  </si>
  <si>
    <t>Дотации  бюджетам  субъектов  Российской  Федерации  и  муниципальных  образований</t>
  </si>
  <si>
    <t>Субсидии  бюджетам  субъектов  Российской  Федерации  и  муниципальных  образований  (межбюджетные  субсидии)</t>
  </si>
  <si>
    <t>Субвенции  бюджетам  субъектов  Российской  Федерации  и  муниципальных  образований</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</si>
  <si>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</si>
  <si>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</si>
  <si>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</si>
  <si>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</si>
  <si>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</si>
  <si>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</si>
  <si>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</si>
  <si>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</si>
  <si>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</si>
  <si>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</si>
  <si>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</si>
  <si>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</si>
  <si>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</si>
  <si>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</si>
  <si>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</si>
  <si>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</si>
  <si>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</si>
  <si>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</si>
  <si>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</si>
  <si>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</si>
  <si>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</si>
  <si>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</si>
  <si>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</si>
  <si>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</si>
  <si>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</si>
  <si>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</si>
  <si>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</si>
  <si>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</si>
  <si>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</si>
  <si>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</si>
  <si>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</si>
  <si>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</si>
  <si>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</si>
  <si>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</si>
  <si>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</si>
  <si>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</si>
  <si>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</si>
  <si>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</si>
  <si>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</si>
  <si>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</si>
  <si>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0405</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</si>
  <si>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</si>
  <si>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</si>
  <si>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</si>
  <si>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</si>
  <si>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</si>
  <si>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</si>
  <si>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</si>
  <si>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</si>
  <si>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</si>
  <si>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</si>
  <si>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</si>
  <si>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</si>
  <si>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</si>
  <si>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</si>
  <si>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</si>
  <si>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</si>
  <si>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</si>
  <si>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</si>
  <si>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</si>
  <si>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</si>
  <si>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</si>
  <si>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</si>
  <si>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</si>
  <si>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</si>
  <si>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</si>
  <si>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</si>
  <si>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</si>
  <si>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</si>
  <si>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</si>
  <si>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</si>
  <si>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</si>
  <si>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</si>
  <si>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</si>
  <si>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</si>
  <si>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</si>
  <si>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</si>
  <si>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</si>
  <si>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</si>
  <si>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</si>
  <si>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</si>
  <si>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</si>
  <si>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</si>
  <si>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</si>
  <si>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</si>
  <si>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 </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</si>
  <si>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</si>
  <si>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</si>
  <si>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</si>
  <si>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</si>
  <si>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</si>
  <si>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</si>
  <si>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</si>
  <si>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субсидии на бюджетные инвестиции в объекты капитального строительства собственности муниципальных образований</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</si>
  <si>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</si>
  <si>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</si>
  <si>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</si>
  <si>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</si>
  <si>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</si>
  <si>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</si>
  <si>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</si>
  <si>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</si>
  <si>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</si>
  <si>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</si>
  <si>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</si>
  <si>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</si>
  <si>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</si>
  <si>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</si>
  <si>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</si>
  <si>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</si>
  <si>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</si>
  <si>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Сельское  хозяйство  и  рыболовство</t>
  </si>
  <si>
    <t>КОСГУ  310</t>
  </si>
  <si>
    <t>МР</t>
  </si>
  <si>
    <t>ГО</t>
  </si>
  <si>
    <t>БП</t>
  </si>
  <si>
    <t>ВСЕГО</t>
  </si>
  <si>
    <t>Дотации  бюджетам  субъектов  Российской  Федерации  и  муниципальных  образований,  всего</t>
  </si>
  <si>
    <t>(вид  расхода  512  "Иные дотации")</t>
  </si>
  <si>
    <t>(вид  расхода  540  "Иные межбюджетные трансферты")</t>
  </si>
  <si>
    <t>Субсидии  бюджетам  субъектов  Российской  Федерации  и  муниципальных  образований  (межбюджетные  субсидии),  всего</t>
  </si>
  <si>
    <t>Субвенции  бюджетам  субъектов  Российской  Федерации  и  муниципальных  образований,  всего</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</si>
  <si>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</si>
  <si>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</si>
  <si>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</si>
  <si>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</si>
  <si>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</si>
  <si>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</si>
  <si>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</si>
  <si>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</si>
  <si>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</si>
  <si>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</si>
  <si>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</si>
  <si>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</si>
  <si>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</si>
  <si>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</si>
  <si>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</si>
  <si>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</si>
  <si>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</si>
  <si>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</si>
  <si>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</si>
  <si>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</si>
  <si>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</si>
  <si>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</si>
  <si>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</si>
  <si>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</si>
  <si>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</si>
  <si>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</si>
  <si>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</si>
  <si>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</si>
  <si>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</si>
  <si>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</si>
  <si>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</si>
  <si>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</si>
  <si>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</si>
  <si>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19 3 01 80040</t>
  </si>
  <si>
    <t>19 3 01 80050</t>
  </si>
  <si>
    <t>19 3 01 80060</t>
  </si>
  <si>
    <t>19 3 01 80070</t>
  </si>
  <si>
    <t>19 3 01 80080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</si>
  <si>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</si>
  <si>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</si>
  <si>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</si>
  <si>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</si>
  <si>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</si>
  <si>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</si>
  <si>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</si>
  <si>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</si>
  <si>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</si>
  <si>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</si>
  <si>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</si>
  <si>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</si>
  <si>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</si>
  <si>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</si>
  <si>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</si>
  <si>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</si>
  <si>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</si>
  <si>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</si>
  <si>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</si>
  <si>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</si>
  <si>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</si>
  <si>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</si>
  <si>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</si>
  <si>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</si>
  <si>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</si>
  <si>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</si>
  <si>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</si>
  <si>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</si>
  <si>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</si>
  <si>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</si>
  <si>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</si>
  <si>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</si>
  <si>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</si>
  <si>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</si>
  <si>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</si>
  <si>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</si>
  <si>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</si>
  <si>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</si>
  <si>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</si>
  <si>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</si>
  <si>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</si>
  <si>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16 2 01 86200</t>
  </si>
  <si>
    <t>13 5 02 85170</t>
  </si>
  <si>
    <t>Целевая  статья  01 1 01 54850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</si>
  <si>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</si>
  <si>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</si>
  <si>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</si>
  <si>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</si>
  <si>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</si>
  <si>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</si>
  <si>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</si>
  <si>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10 1 10 86350</t>
  </si>
  <si>
    <t>01 6 05 R0273</t>
  </si>
  <si>
    <t>10 1 03 86670</t>
  </si>
  <si>
    <t>07 1 02 86730</t>
  </si>
  <si>
    <t>Закон  Липецкой  области  от  15.12.2015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</si>
  <si>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07 1 04 86740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</si>
  <si>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</si>
  <si>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граждан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</si>
  <si>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</si>
  <si>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</si>
  <si>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</si>
  <si>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</si>
  <si>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</si>
  <si>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</si>
  <si>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</si>
  <si>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</si>
  <si>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</si>
  <si>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</si>
  <si>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</si>
  <si>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</si>
  <si>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</si>
  <si>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</si>
  <si>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</si>
  <si>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</si>
  <si>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</si>
  <si>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Прочие  дотации  бюджетам  поселений</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</si>
  <si>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</si>
  <si>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</si>
  <si>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</si>
  <si>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14 R5191</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</si>
  <si>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</si>
  <si>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</si>
  <si>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</si>
  <si>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</si>
  <si>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</si>
  <si>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</si>
  <si>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</si>
  <si>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</si>
  <si>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</si>
  <si>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</si>
  <si>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</si>
  <si>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</si>
  <si>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</si>
  <si>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</si>
  <si>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</si>
  <si>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</si>
  <si>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</si>
  <si>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</si>
  <si>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08 4 06 R0212 - обл</t>
  </si>
  <si>
    <t>08 4 06 R0212 - фед</t>
  </si>
  <si>
    <t>06 1 14 R5191 - обл</t>
  </si>
  <si>
    <t>06 1 15 R5192 - обл</t>
  </si>
  <si>
    <t>06 1 14 R5191 - фед</t>
  </si>
  <si>
    <t>06 1 15 R5192 - фед</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</si>
  <si>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</si>
  <si>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</si>
  <si>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</si>
  <si>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</si>
  <si>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</si>
  <si>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</si>
  <si>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</si>
  <si>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</si>
  <si>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</si>
  <si>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</si>
  <si>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</si>
  <si>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</si>
  <si>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</si>
  <si>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</si>
  <si>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</si>
  <si>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</si>
  <si>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</si>
  <si>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</si>
  <si>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</si>
  <si>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</si>
  <si>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</si>
  <si>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</si>
  <si>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</si>
  <si>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</si>
  <si>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</si>
  <si>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</si>
  <si>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</si>
  <si>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</si>
  <si>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</si>
  <si>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</si>
  <si>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</si>
  <si>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 xml:space="preserve">Межбюджетные трансферты, передаваемые бюджетам  поселений на  финансовое  обеспечение  дорожной  деятельности </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</si>
  <si>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</si>
  <si>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</si>
  <si>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</si>
  <si>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</si>
  <si>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</si>
  <si>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05 1 25 86320</t>
  </si>
  <si>
    <t>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</si>
  <si>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</si>
  <si>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07 1 05 86720</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</si>
  <si>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</si>
  <si>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</si>
  <si>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20 1 04 86140</t>
  </si>
  <si>
    <t>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</si>
  <si>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13 7 07 86780</t>
  </si>
  <si>
    <t>13 7 07 R5673</t>
  </si>
  <si>
    <t>13 7 07 R5673 - фед</t>
  </si>
  <si>
    <t>13 7 08 R5679</t>
  </si>
  <si>
    <t>13 7 08 R5679 - фед</t>
  </si>
  <si>
    <t>13 7 04 R5677</t>
  </si>
  <si>
    <t>13 7 06 R5675</t>
  </si>
  <si>
    <t>13 7 04 R5677 - фед</t>
  </si>
  <si>
    <t>13 7 06 R5675 - фед</t>
  </si>
  <si>
    <t>Целевая  статья  13 7 04 R5677</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</si>
  <si>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</si>
  <si>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</si>
  <si>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</si>
  <si>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</si>
  <si>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 xml:space="preserve">Субсидии бюджетам поселений на обеспечение развития и укрепления материально-технической базы муниципальных домов культуры   </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</si>
  <si>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</si>
  <si>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</si>
  <si>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</si>
  <si>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</si>
  <si>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</si>
  <si>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</si>
  <si>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</si>
  <si>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</si>
  <si>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</si>
  <si>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</si>
  <si>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 xml:space="preserve">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</si>
  <si>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</si>
  <si>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</si>
  <si>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</si>
  <si>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64 R5195</t>
  </si>
  <si>
    <t>06 1 64 R5195 - обл</t>
  </si>
  <si>
    <t>06 1 64 R5195 - фед</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</si>
  <si>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</si>
  <si>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</si>
  <si>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</si>
  <si>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</si>
  <si>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</si>
  <si>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</si>
  <si>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</si>
  <si>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</si>
  <si>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Субсидии бюджетам поселений на реализацию мероприятий по устойчивому развитию сельских территорий</t>
  </si>
  <si>
    <t>субсидия  по  КОСГУ  310</t>
  </si>
  <si>
    <t>МР  и  ГП</t>
  </si>
  <si>
    <t>субвенция  МР</t>
  </si>
  <si>
    <t>СВЕДЕНИЯ  О  НЕРАСПРЕДЕЛЕННЫХ  ИНЫХ  МЕЖБЮДЖЕТНЫХ  ТРАНСФЕРТАХ  В  2019  ГОДУ</t>
  </si>
  <si>
    <t>СВЕДЕНИЯ  О  НЕРАСПРЕДЕЛЕННОЙ  ДОТАЦИИ  В  2019  ГОДУ</t>
  </si>
  <si>
    <t>СВЕДЕНИЯ  О  НЕРАСПРЕДЕЛЕННОЙ  СУБСИДИИ  В  2019  ГОДУ</t>
  </si>
  <si>
    <t>МЕЖБЮДЖЕТНЫЕ  ТРАНСФЕРТЫ  В  2019  ГОДУ</t>
  </si>
  <si>
    <t>ФЕДЕРАЛЬНЫЕ  СРЕДСТВА  В  2019  ГОДУ</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</si>
  <si>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</si>
  <si>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</si>
  <si>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</si>
  <si>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</si>
  <si>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10 3 02 86250</t>
  </si>
  <si>
    <t>Предоставление 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</si>
  <si>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08 6 09 86390</t>
  </si>
  <si>
    <t>16 2 09 86380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</si>
  <si>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</si>
  <si>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</si>
  <si>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</si>
  <si>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</si>
  <si>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</si>
  <si>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</si>
  <si>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</si>
  <si>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</si>
  <si>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</si>
  <si>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</si>
  <si>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</si>
  <si>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</si>
  <si>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</si>
  <si>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</si>
  <si>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</si>
  <si>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</si>
  <si>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</si>
  <si>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</si>
  <si>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</si>
  <si>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</si>
  <si>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</si>
  <si>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</si>
  <si>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</si>
  <si>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</si>
  <si>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</si>
  <si>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</si>
  <si>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</si>
  <si>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(2 02 49999 00 0000 150)</t>
  </si>
  <si>
    <t>Межбюджетные трансферты, передаваемые бюджетам  на  финансовое  обеспечение  дорожной  деятельности  (2 02 45390 00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</si>
  <si>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</si>
  <si>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Межбюджетные трансферты, передаваемые бюджетам городских округов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04 0000 150)</t>
  </si>
  <si>
    <t>Межбюджетные трансферты, передаваемые бюджетам муниципальных районов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05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</si>
  <si>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</si>
  <si>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</si>
  <si>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</si>
  <si>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граждан, уволенных с военной службы (службы), и приравненных к ним лиц    (000 2 02 35485 00 0000 150)</t>
  </si>
  <si>
    <t>Субвенции бюджетам городских округов на обеспечение жильем граждан, уволенных с военной службы (службы), и приравненных к ним лиц    (000 2 02 35485 04 0000 150)</t>
  </si>
  <si>
    <t>Субвенции бюджетам муниципальных районов на обеспечение жильем граждан, уволенных с военной службы (службы), и приравненных к ним лиц    (000 2 02 35485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</si>
  <si>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</si>
  <si>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</si>
  <si>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</si>
  <si>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</si>
  <si>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</si>
  <si>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</si>
  <si>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</si>
  <si>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</si>
  <si>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</si>
  <si>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</si>
  <si>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</si>
  <si>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</si>
  <si>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</si>
  <si>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</si>
  <si>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</si>
  <si>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</si>
  <si>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</si>
  <si>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</si>
  <si>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</si>
  <si>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</si>
  <si>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</si>
  <si>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</si>
  <si>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</si>
  <si>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</si>
  <si>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</si>
  <si>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</si>
  <si>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</si>
  <si>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</si>
  <si>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Субсидии бюджетам городских поселений на реализацию мероприятий по устойчивому развитию сельских территорий  (000 2 02 25567 13 0000 150)</t>
  </si>
  <si>
    <t>Субсидии бюджетам сельских поселений на реализацию мероприятий по устойчивому развитию сельских территорий  (000 2 02 25567 10 0000 150)</t>
  </si>
  <si>
    <t>Субсидии бюджетам на реализацию мероприятий по устойчивому развитию сельских территорий    (000 2 02 25567 00 0000 150)</t>
  </si>
  <si>
    <t>Субсидии бюджетам городских округов на реализацию мероприятий по устойчивому развитию сельских территорий  (000 2 02 25567 04 0000 150)</t>
  </si>
  <si>
    <t>Субсидии бюджетам муниципальных районов на реализацию мероприятий по устойчивому развитию сельских территорий  (000 2 02 25567 05 0000 150)</t>
  </si>
  <si>
    <t>Субсидии  бюджетам  субъектов  Российской  Федерации  и  муниципальных  образований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</si>
  <si>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</si>
  <si>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</si>
  <si>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</si>
  <si>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</si>
  <si>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</si>
  <si>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04 0000 150)</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</si>
  <si>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05 0000 150)</t>
  </si>
  <si>
    <t>Субсидии бюджетам сельских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10 0000 150)</t>
  </si>
  <si>
    <t>Субсидии бюджетам городских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13 0000 150 )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</si>
  <si>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00 0000 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</si>
  <si>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</si>
  <si>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   ( 000 2 02 25555 04 0000 150 )</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</si>
  <si>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   ( 000 2 02 25555 05 0000 150 )</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</si>
  <si>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10 0000 150 )</t>
  </si>
  <si>
    <t>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13 0000 150 )</t>
  </si>
  <si>
    <t>Дотации  бюджетам  субъектов  Российской  Федерации  и  муниципальных  образований  (000 2 02 10000 00 0000 150)</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</si>
  <si>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</si>
  <si>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</si>
  <si>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</si>
  <si>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</si>
  <si>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</si>
  <si>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на обеспечение развития и укрепления материально-технической базы муниципальных домов культуры    ( 000 2 02 25467 00 0000 150 )</t>
  </si>
  <si>
    <t>Субсидии бюджетам городских округов на обеспечение развития и укрепления материально-технической базы муниципальных домов культуры    ( 000 2 02 25467 04 0000 150 )</t>
  </si>
  <si>
    <t>Субсидии бюджетам муниципальных районов на обеспечение развития и укрепления материально-технической базы муниципальных домов культуры    ( 000 2 02 25467 05 0000 150 )</t>
  </si>
  <si>
    <t>Субсидии бюджетам сельских поселений на обеспечение развития и укрепления материально-технической базы муниципальных домов культуры    ( 000 2 02 25467 10 0000 150 )</t>
  </si>
  <si>
    <t>Субсидии бюджетам городских поселений на обеспечение развития и укрепления материально-технической базы муниципальных домов культуры    ( 000 2 02 25467 13 0000 150 )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</si>
  <si>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</si>
  <si>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</si>
  <si>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</si>
  <si>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</si>
  <si>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</si>
  <si>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(2 02 25097 05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</si>
  <si>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</si>
  <si>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городских округов на реализацию мероприятий государственной программы Российской Федерации "Доступная среда" на 2011 - 2020 годы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</si>
  <si>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на 2011 - 2020 годы   (000 2 02 25027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</si>
  <si>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</si>
  <si>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</si>
  <si>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</si>
  <si>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</si>
  <si>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</si>
  <si>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</si>
  <si>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</si>
  <si>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</si>
  <si>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</si>
  <si>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</si>
  <si>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Прочие  дотации    (000 2 02 19999 00 0000 150)</t>
  </si>
  <si>
    <t>Прочие  дотации  бюджетам  городских  округов  (000 2 02 19999 04 0000 150)</t>
  </si>
  <si>
    <t>Прочие  дотации  бюджетам  муниципальных  районов  (000 2 02 19999 05 0000 150)</t>
  </si>
  <si>
    <t>Прочие  дотации  бюджетам  сельских  поселений  (000 2 02 19999 10 0000 150)</t>
  </si>
  <si>
    <t>Прочие  дотации  бюджетам  городских  поселений  (000 2 02 19999 13 0000 150)</t>
  </si>
  <si>
    <t>Дотации  на  выравнивание  бюджетной  обеспеченности   (000 2 02 15001 00 0000 150)</t>
  </si>
  <si>
    <t>Дотации  бюджетам  городских  округов  на  выравнивание  бюджетной  обеспеченности     (000 2 02 15001 04 0000 150)</t>
  </si>
  <si>
    <t xml:space="preserve">Дотации  бюджетам  муниципальных  районов  на  выравнивание  бюджетной  обеспеченности   (000 2 02 15001 05 0000 150)  </t>
  </si>
  <si>
    <t>Дотации  бюджетам  сельских  поселений  на  выравнивание  бюджетной  обеспеченности  (000 2 02 15001 10 0000 150)</t>
  </si>
  <si>
    <t>Дотации  бюджетам  городских  поселений  на  выравнивание  бюджетной  обеспеченности  (000 2 02 15001 13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</si>
  <si>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</si>
  <si>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</si>
  <si>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Целевые  статьи  99 3 00 88000</t>
  </si>
  <si>
    <t>14 1 R1 53933</t>
  </si>
  <si>
    <t>14 1 R1 53934</t>
  </si>
  <si>
    <t>Целевая  статья  14 1 R1 53933</t>
  </si>
  <si>
    <t>Целевая  статья  14 1 R1 53934</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</si>
  <si>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00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</si>
  <si>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04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</si>
  <si>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05 0000 150)</t>
  </si>
  <si>
    <t>04 1 09 R4260</t>
  </si>
  <si>
    <t>Целевая  статья  04 1 09 R4260</t>
  </si>
  <si>
    <t>04 1 09 R4260 - фед</t>
  </si>
  <si>
    <t>1.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09 R4260)</t>
  </si>
  <si>
    <t>Целевая  статья  05 1 Р2 51590</t>
  </si>
  <si>
    <t>05 1 Р2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</si>
  <si>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</si>
  <si>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</si>
  <si>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</si>
  <si>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Массовый спорт</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</si>
  <si>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</si>
  <si>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20 1 06 86420</t>
  </si>
  <si>
    <t>Предоставление субсидий местным бюджетам на реализацию муниципальных программ, направленных на реализацию проектов,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</si>
  <si>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ВР  540</t>
  </si>
  <si>
    <t>20 1 F2 55551</t>
  </si>
  <si>
    <t>20 1 F2 55551 - обл</t>
  </si>
  <si>
    <t>20 1 F2 55551 - фед</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</si>
  <si>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</si>
  <si>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55552</t>
  </si>
  <si>
    <t>20 1 F2 55552 - фед</t>
  </si>
  <si>
    <t>20 1 F2 55552 - обл</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</si>
  <si>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</si>
  <si>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</si>
  <si>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</si>
  <si>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</si>
  <si>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</si>
  <si>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</si>
  <si>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</si>
  <si>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</si>
  <si>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</si>
  <si>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</si>
  <si>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</si>
  <si>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</si>
  <si>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08 6 F3 09602</t>
  </si>
  <si>
    <t>Целевая  статья  08 6 F3 09602</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</si>
  <si>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</si>
  <si>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</si>
  <si>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 в рамках подпрограммы «Развитие сети кооперативов всех направлений на 2014-2024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</si>
  <si>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</si>
  <si>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</si>
  <si>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</si>
  <si>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</si>
  <si>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</si>
  <si>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</si>
  <si>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</si>
  <si>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</si>
  <si>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</si>
  <si>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</si>
  <si>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</si>
  <si>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</si>
  <si>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</si>
  <si>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</si>
  <si>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</si>
  <si>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</si>
  <si>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</si>
  <si>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</si>
  <si>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</si>
  <si>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</si>
  <si>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05 0000 150)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</si>
  <si>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</si>
  <si>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</si>
  <si>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</si>
  <si>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муниципальных домов культуры     (000 2 02 25467 00 0000 150)</t>
  </si>
  <si>
    <t>Субсидии  бюджетам  субъектов  Российской  Федерации  и  муниципальных  образований  (межбюджетные  субсидии) ( 000 2 02 20000 00 0000 150 )</t>
  </si>
  <si>
    <t xml:space="preserve">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  </t>
  </si>
  <si>
    <t>Субсидии бюджетам на реализацию мероприятий по устойчивому развитию сельских территорий  (000 2 02 25567 00 0000 150)</t>
  </si>
  <si>
    <t>Субвенции  бюджетам  субъектов  Российской  Федерации  и  муниципальных  образований  ( 000 2 02 30000 00 000 150 )</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</si>
  <si>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</si>
  <si>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</si>
  <si>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</si>
  <si>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</si>
  <si>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</si>
  <si>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</si>
  <si>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</si>
  <si>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</si>
  <si>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</si>
  <si>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</si>
  <si>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</si>
  <si>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</si>
  <si>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</si>
  <si>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</si>
  <si>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</si>
  <si>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</si>
  <si>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</si>
  <si>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</si>
  <si>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</si>
  <si>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</si>
  <si>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19.08.2008  года  № 180-ОЗ  "О нормативах финансирования общеобразовательных организаций"</t>
  </si>
  <si>
    <t xml:space="preserve">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</si>
  <si>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 xml:space="preserve">99 9 00 86110  </t>
  </si>
  <si>
    <t>Субсидия бюджетам на финансовое обеспечение отдельных полномочий  ( 2 02 29998 00 0000 151 )</t>
  </si>
  <si>
    <t>Субсидия бюджетам городских округов на финансовое обеспечение отдельных полномочий  ( 2 02 29998 04 0000 151 )</t>
  </si>
  <si>
    <t>Субсидия бюджетам муниципальных районов на финансовое обеспечение отдельных полномочий  ( 2 02 29998 05 0000 151 )</t>
  </si>
  <si>
    <t xml:space="preserve">Целевая  статья  99 9 00 86110  </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</si>
  <si>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</si>
  <si>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08 6 F3 86430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</si>
  <si>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с учетом необходимости развития индивидуального жилищного строительства без условий софинансирования с Фондом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</si>
  <si>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</si>
  <si>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13 7 06 86370</t>
  </si>
  <si>
    <t>04 1 Р5 52282</t>
  </si>
  <si>
    <t xml:space="preserve">Целевые  статьи  04 1 Р5 52281,  04 1 Р5 52282 </t>
  </si>
  <si>
    <t>04 1 Р5 52282 - фед</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</si>
  <si>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физкультурных мероприятий и спортивных мероприятий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</si>
  <si>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04 1 Р5 86360</t>
  </si>
  <si>
    <t>14 1 09 86230</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</si>
  <si>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</si>
  <si>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</si>
  <si>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R1 86220</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</si>
  <si>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</si>
  <si>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</si>
  <si>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</si>
  <si>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</si>
  <si>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</si>
  <si>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</si>
  <si>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</si>
  <si>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</si>
  <si>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</si>
  <si>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</si>
  <si>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</si>
  <si>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</si>
  <si>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</si>
  <si>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Субсидия</t>
  </si>
  <si>
    <t>Субвенция</t>
  </si>
  <si>
    <t>Иные  МБТ</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</si>
  <si>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</si>
  <si>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t>
  </si>
  <si>
    <t>11 4 I5 55276 - фед</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</si>
  <si>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</si>
  <si>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</si>
  <si>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 xml:space="preserve">13 7 Р5 5567Б </t>
  </si>
  <si>
    <t>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</si>
  <si>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13 7 Р5 86690 </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</si>
  <si>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 - 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</si>
  <si>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выравнивание</t>
  </si>
  <si>
    <t>сбалансированность</t>
  </si>
  <si>
    <t>гранты</t>
  </si>
  <si>
    <t>310 КОСГУ</t>
  </si>
  <si>
    <t xml:space="preserve">Целевая  статья  08 4 06 R0212 </t>
  </si>
  <si>
    <t xml:space="preserve">Целевая  статья  13 7 06 R5675  </t>
  </si>
  <si>
    <t xml:space="preserve">Целевая  статья  13 7 07 R5673  </t>
  </si>
  <si>
    <t xml:space="preserve">Целевая  статья  13 7 08 R5679 </t>
  </si>
  <si>
    <t xml:space="preserve">Целевая  статья 13 7 Р5 5567Б </t>
  </si>
  <si>
    <t xml:space="preserve">Целевая  статья  01 6 04 R0272 </t>
  </si>
  <si>
    <t xml:space="preserve">Целевая  статья  01 6 05 R0273 </t>
  </si>
  <si>
    <t xml:space="preserve">Целевая  статья  05 1 Е2 50970 </t>
  </si>
  <si>
    <t xml:space="preserve">Целевая  статья  04 1 Р5 52281 </t>
  </si>
  <si>
    <t>Целевая  статья  04 1 Р5 52282</t>
  </si>
  <si>
    <t xml:space="preserve">Целевая  статья  05 1 Р2 52320 </t>
  </si>
  <si>
    <t xml:space="preserve">Целевая  статья  06 1 63 R4660 </t>
  </si>
  <si>
    <t xml:space="preserve">Целевая  статья  06 1 62 R4670 </t>
  </si>
  <si>
    <t xml:space="preserve">Целевая  статья  06 1 14 R5191 </t>
  </si>
  <si>
    <t>Целевая  статья  06 1 15 R5192</t>
  </si>
  <si>
    <t xml:space="preserve">Целевая  статья  06 1 64 R5195 </t>
  </si>
  <si>
    <t xml:space="preserve">Целевая  статья  06 1 A1 55196 </t>
  </si>
  <si>
    <t xml:space="preserve">Целевая  статья  05 5 E1 55200 </t>
  </si>
  <si>
    <t xml:space="preserve">Целевая  статья  11 4 I5 55276  </t>
  </si>
  <si>
    <t>Целевая  статья  11 4 08 R5276</t>
  </si>
  <si>
    <t>Целевая  статья  20 1 F2 55551</t>
  </si>
  <si>
    <t xml:space="preserve">Целевая  статья  20 1 F2 55552 </t>
  </si>
  <si>
    <t xml:space="preserve">Целевая  статья  13 7 04 R5677  </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</si>
  <si>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00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</si>
  <si>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04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</si>
  <si>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</si>
  <si>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</si>
  <si>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</si>
  <si>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13 0000 150)</t>
  </si>
  <si>
    <t>план</t>
  </si>
  <si>
    <t xml:space="preserve">Субсидии бюджетам поселений на реализацию мероприятий государственной программы Российской Федерации "Доступная среда" на 2011 - 2020 годы  </t>
  </si>
  <si>
    <t>Субсидии бюджетам сельских поселений на реализацию мероприятий государственной программы Российской Федерации "Доступная среда" на 2011 - 2020 годы   (000 2 02 25027 10 0000 150)</t>
  </si>
  <si>
    <t xml:space="preserve">Целевые  статьи  06 1 A1 55196,  06 1 14 R5191,  06 1 15 R5192,  06 1 64 R5195,  </t>
  </si>
  <si>
    <t xml:space="preserve">Субсидии бюджетам сельских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</si>
  <si>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</si>
  <si>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округов на софинансирование капитальных вложений в объекты муниципальной собственности   (000 2 02 27112 04 0000 150)   </t>
  </si>
  <si>
    <t>Субсидии бюджетам муниципальных районов на софинансирование капитальных вложений в объекты муниципальной собственности   (000 2 02 27112 05 0000 150)</t>
  </si>
  <si>
    <t xml:space="preserve">Субсидии бюджетам на софинансирование капитальных вложений в объекты государственной (муниципальной) собственности  (000 2 02 27112 00 0000 150)   </t>
  </si>
  <si>
    <t xml:space="preserve">Субсидии бюджетам городских округов на софинансирование капитальных вложений в объекты муниципальной собственности  (000 2 02 27112 00 0000 150)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</si>
  <si>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</si>
  <si>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</si>
  <si>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05 1 31 87050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</si>
  <si>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</si>
  <si>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31 R1590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</si>
  <si>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</si>
  <si>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3.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</si>
  <si>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2.  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31 R1590)</t>
  </si>
  <si>
    <t>Целевая  статья  05 1 31 R1590</t>
  </si>
  <si>
    <t xml:space="preserve">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</si>
  <si>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 xml:space="preserve">реализация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</si>
  <si>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05 5 01 R5200</t>
  </si>
  <si>
    <t>05 5 01 R5200 - фед</t>
  </si>
  <si>
    <t>Целевые  статьи  05 5 E1 55200,  05 5 01 R5200</t>
  </si>
  <si>
    <t xml:space="preserve">Целевая  статья  05 5 01 R5200 </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</si>
  <si>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</si>
  <si>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</si>
  <si>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</si>
  <si>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</si>
  <si>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</si>
  <si>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Дотации  бюджетам  городских  округов  на  поддержку  мер  по  обеспечению  сбалансированности  бюджетов  (000 2 02 15002 04 0000 150)</t>
  </si>
  <si>
    <t>Дотации  бюджетам  муниципальных  районов  на  поддержку  мер  по  обеспечению  сбалансированности  бюджетов  (000 2 02 15002 05 0000 150)</t>
  </si>
  <si>
    <t>Дотации  бюджетам  на  поддержку  мер  по  обеспечению  сбалансированности  бюджетов  (000 2 02 15002 00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</si>
  <si>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</si>
  <si>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</si>
  <si>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Субсидии бюджетам городских поселений на реализацию мероприятий государственной программы Российской Федерации "Доступная среда" на 2011 - 2020 годы   (000 2 02 25027 13 0000 150)</t>
  </si>
  <si>
    <t>МР,  СП  и  ГП</t>
  </si>
  <si>
    <t xml:space="preserve">План  МБТ  </t>
  </si>
  <si>
    <t>Целевая  статья  08 6 F3 09502</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</si>
  <si>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</si>
  <si>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08 6 F3 09502</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</si>
  <si>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</si>
  <si>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</si>
  <si>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14 1 01 53900</t>
  </si>
  <si>
    <t>федеральные  средства  по  5</t>
  </si>
  <si>
    <t xml:space="preserve">Целевые  статьи  14 1 01 53900 </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</si>
  <si>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</si>
  <si>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</si>
  <si>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07 R527F</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</si>
  <si>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t>
  </si>
  <si>
    <t>Целевая  статья  11 4 07 R527F</t>
  </si>
  <si>
    <t>11 4 07 R527F - фед</t>
  </si>
  <si>
    <t>Целевые  статьи  11 4 04 86400,  11 4 I5 55276,  11 4 07 R527F,  11 4 08 R5276,  11 4 08 86276</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</si>
  <si>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</si>
  <si>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</si>
  <si>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</si>
  <si>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</si>
  <si>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</si>
  <si>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</si>
  <si>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3.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</si>
  <si>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</si>
  <si>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</si>
  <si>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создание или модернизация футбольных полей с искусственным покрытием</t>
  </si>
  <si>
    <t>4.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</si>
  <si>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05 1 Р2 51590 - фед.</t>
  </si>
  <si>
    <t>05 1 31 R1590 - фед.</t>
  </si>
  <si>
    <t>Целевые  статьи  06 1 13 86680,  08 5 03 86010  в  части  бюджетных  инвестиций (ВР 522),  08 6 09 86390,  13 7 06 86370,  13 7 07 86780,  13 7 Р5 86690</t>
  </si>
  <si>
    <t>Целевые  статьи   06 1 A2 86280,  08 4 F1 86020,  08 5 03 86010,  08 6 F3 86430,  10 1 10 86350,  10 3 02 86250,  12 1 29 86080,  12 2 04 86180,  14 1 08 86300,  14 2 02 86100,  14 2 08 86190,  16 2 01 86200,  16 2 02 86210,  16 2 09 86380,  18 2 05 86790,  20 1 04 86140,  20 1 06 86420</t>
  </si>
  <si>
    <t>Целевые  статьи  20 1 F2 55551,  20 1 F2 55552,  20 1 02 R5552</t>
  </si>
  <si>
    <t>20 1 02 R5552 - фед</t>
  </si>
  <si>
    <t>20 1 02 R5552 - обл</t>
  </si>
  <si>
    <t xml:space="preserve">Целевая  статья  20 1 02 R5552 </t>
  </si>
  <si>
    <t>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</si>
  <si>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20 1 02 R5552</t>
  </si>
  <si>
    <t>Реализация мероприятий, направленных на формирование современной городской среды на оплату муниципальных контрактов на поставку товаров, выполнение работ, оказание услуг, подлежавших в соответствии с условиями этих контрактов оплате в 2018 году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</si>
  <si>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</si>
  <si>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</si>
  <si>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Целевые  статьи  08 4 06 R0212</t>
  </si>
  <si>
    <t>Целевые  статьи  14 1 04 86030,  14 1 05 86070,  14 1 09 86230,  14 1 R1 86220</t>
  </si>
  <si>
    <t>СУБСИДИЯ  ПО  ВИДУ  РАСХОДА  522</t>
  </si>
  <si>
    <t>руб.</t>
  </si>
  <si>
    <t>13 7 P5 86690</t>
  </si>
  <si>
    <t>областные  средства  по  ЦС  с  R,  по  5  и  по  09602</t>
  </si>
  <si>
    <t>средства  фонда  реформирования  ЖКХ</t>
  </si>
  <si>
    <t>4.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</si>
  <si>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5.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</si>
  <si>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</si>
  <si>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УТОЧНЕННЫЙ  ПЛАН  И  ИСПОЛНЕНИЕ  ПО  ФЕДЕРАЛЬНОЙ  СУБСИДИИ</t>
  </si>
  <si>
    <t>МР  и  ГО</t>
  </si>
  <si>
    <t>без  ФСРЖКХ</t>
  </si>
  <si>
    <t>13 7 Р5 5567D</t>
  </si>
  <si>
    <t>Целевые  статьи  13 7 06 R5675,  13 7 07 R5673,  13 7 08 R5679,  13 7 Р5 5567D</t>
  </si>
  <si>
    <t xml:space="preserve">13 7 Р5 5567D </t>
  </si>
  <si>
    <t>13 7 Р5 5567D  - фед</t>
  </si>
  <si>
    <t>Целевая  статья 13 7 Р5 5567D</t>
  </si>
  <si>
    <t>Целевая  статья  14 1 01 53900</t>
  </si>
  <si>
    <t>Межбюджетные трансферты, передаваемые бюджетам  на  финансовое  обеспечение  дорожной  деятельности  (000 2 02 45390 00 0000 150)</t>
  </si>
  <si>
    <t>Межбюджетные трансферты, передаваемые бюджетам  городских  округов  на  финансовое  обеспечение  дорожной  деятельности  (000 2 02 45390 04 0000 150)</t>
  </si>
  <si>
    <t>Межбюджетные трансферты, передаваемые бюджетам  муниципальных  районов  на  финансовое  обеспечение  дорожной  деятельности  (000 2 02 45390 05 0000 150)</t>
  </si>
  <si>
    <t>Межбюджетные трансферты, передаваемые бюджетам  сельских поселений на  финансовое  обеспечение  дорожной  деятельности  (000 2 02 45390 10 0000 150)</t>
  </si>
  <si>
    <t>Межбюджетные трансферты, передаваемые бюджетам  городских  поселений  на  финансовое  обеспечение  дорожной  деятельности  (000 2 02 45390 13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</si>
  <si>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</si>
  <si>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</si>
  <si>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</si>
  <si>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</si>
  <si>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</si>
  <si>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</si>
  <si>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Р2 5159F</t>
  </si>
  <si>
    <t>05 1 Р2 5159F - фед.</t>
  </si>
  <si>
    <t>Целевые  статьи  05 1 31 R1590,  05 1 31 87050,  05 1 Р2 51590,  05 1 Р2 5159F,  05 1 Р2 87050</t>
  </si>
  <si>
    <t>5.  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01 53900)</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</si>
  <si>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53933)</t>
  </si>
  <si>
    <t>7.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</si>
  <si>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Целевая  статья  05 1 Р2 5159F</t>
  </si>
  <si>
    <t>4.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(ЦC  05 1 Р2 5159F)</t>
  </si>
  <si>
    <t>cоздание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</si>
  <si>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</si>
  <si>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Субсидии бюджетам на реализацию федеральной целевой программы "Развитие физической культуры и спорта в Российской Федерации на 2016 - 2020 годы"   ( 000 2 02 25495 00 0000 150 )</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</si>
  <si>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   ( 000 2 02 25495 04 0000 150 )</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</si>
  <si>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   ( 000 2 02 25495 05 0000 150 )</t>
  </si>
  <si>
    <t>Целевая  статья  04 1 P5 54951</t>
  </si>
  <si>
    <t>04 1 P5 54951 - обл</t>
  </si>
  <si>
    <t>04 1 P5 54951- фед</t>
  </si>
  <si>
    <t>5. 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54951)</t>
  </si>
  <si>
    <t>6. 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</si>
  <si>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7.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</si>
  <si>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8.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</si>
  <si>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9.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5 01 R5200)</t>
  </si>
  <si>
    <t>10.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</si>
  <si>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11.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14 R5191)</t>
  </si>
  <si>
    <t>12.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</si>
  <si>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13.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</si>
  <si>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14.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</si>
  <si>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15.  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(06 1 64 R5195)</t>
  </si>
  <si>
    <t>16. 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 в рамках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06 R0212)</t>
  </si>
  <si>
    <t>17.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09502)</t>
  </si>
  <si>
    <t>18.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07 R527F)</t>
  </si>
  <si>
    <t>19.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</si>
  <si>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20.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</si>
  <si>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21.  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04 R5677)</t>
  </si>
  <si>
    <t>22.  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06 R5675)</t>
  </si>
  <si>
    <t>23.  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07 R5673)</t>
  </si>
  <si>
    <t>24.  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08 R5679)</t>
  </si>
  <si>
    <t>25. 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Р5 5567D)</t>
  </si>
  <si>
    <t>26.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55551)</t>
  </si>
  <si>
    <t>27.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55552)</t>
  </si>
  <si>
    <t>28. Реализация мероприятий, направленных на формирование современной городской среды на оплату муниципальных контрактов на поставку товаров, выполнение работ, оказание услуг, подлежавших в соответствии с условиями этих контрактов оплате в 2018 году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02 R5552)</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</si>
  <si>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</si>
  <si>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08 6 09 R1131</t>
  </si>
  <si>
    <t>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</si>
  <si>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17.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09 R1131)</t>
  </si>
  <si>
    <t xml:space="preserve">Целевая  статья  08 6 09 R1131 </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</si>
  <si>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(2 02 25113 00 0000 150)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</si>
  <si>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(2 02 25113 00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</si>
  <si>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(2 02 25113 04 0000 150)</t>
  </si>
  <si>
    <t>Субсидии бюджетам муниципальных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(2 02 25113 05 0000 150)</t>
  </si>
  <si>
    <t>08 6 09 R1131 - обл</t>
  </si>
  <si>
    <t>08 6 09 R1131 - фед</t>
  </si>
  <si>
    <t>Целевая  статья  08 6 09 R1131</t>
  </si>
  <si>
    <t>Обязательно  поставить  факт  по  0409  ЦС  20 1 F2 55551</t>
  </si>
  <si>
    <t>10 1 10 R2990</t>
  </si>
  <si>
    <t>Обустройство и восстановление воинских захоронений, находящихся в государственной собственности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</si>
  <si>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 xml:space="preserve">МЕНЯТЬ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</si>
  <si>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</si>
  <si>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</si>
  <si>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04 1 Р5 86360, 04 2 Р5 86820,  05 1 06 86560,  05 1 12 86590,  05 1 25 86320,  05 1 26 86160,  06 1 06 R5194,  06 1 A2 86280,  07 1 02 86730,  07 1 04 86740,  07 1 05 86720,  08 4 F1 86020,  08 5 03 86010,  08 6 F3 86430,  10 1 03 86670,  10 1 10 86350,  12 1 29 86080,  12 2 04 86180,  13 6 01 86050,  13 8 01 86060,  14 1 08 86300,  14 2 02 86100,  14 2 06 86090,  14 2 07 86170,  14 2 08 86190,  14 2 09 86260,  16 2 01 86200,  16 2 02 86210,  16 2 09 86380,  18 2 05 86790,  20 1 04 86140,  20 1 06 86420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</si>
</sst>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s>
  <fonts count="146"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2"/>
      <color rgb="FFFF0000"/>
      <name val="Arial Cyr"/>
      <charset val="204"/>
    </font>
    <font>
      <b/>
      <sz val="20"/>
      <name val="Arial Cyr"/>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i/>
      <sz val="12"/>
      <color rgb="FF000000"/>
      <name val="Times New Roman Cyr"/>
    </font>
    <font>
      <b/>
      <sz val="11"/>
      <color rgb="FF000000"/>
      <name val="Arial Cyr"/>
    </font>
    <font>
      <b/>
      <sz val="14"/>
      <color indexed="10"/>
      <name val="Arial"/>
      <family val="2"/>
      <charset val="204"/>
    </font>
    <font>
      <b/>
      <sz val="13"/>
      <color rgb="FFFF0000"/>
      <name val="Arial Cyr"/>
      <charset val="204"/>
    </font>
    <font>
      <b/>
      <sz val="10"/>
      <color rgb="FF000000"/>
      <name val="Arial"/>
      <family val="2"/>
      <charset val="204"/>
    </font>
    <font>
      <b/>
      <sz val="13"/>
      <color rgb="FFFF0000"/>
      <name val="Arial Cyr"/>
      <family val="2"/>
      <charset val="204"/>
    </font>
    <font>
      <b/>
      <sz val="12"/>
      <color rgb="FFFF0000"/>
      <name val="Arial Cyr"/>
      <family val="2"/>
      <charset val="204"/>
    </font>
    <font>
      <b/>
      <sz val="10"/>
      <color rgb="FFFF0000"/>
      <name val="Arial"/>
      <family val="2"/>
      <charset val="204"/>
    </font>
    <font>
      <sz val="12"/>
      <name val="Times New Roman"/>
      <family val="1"/>
      <charset val="204"/>
    </font>
    <font>
      <b/>
      <i/>
      <sz val="13"/>
      <color rgb="FF000000"/>
      <name val="Arial"/>
      <family val="2"/>
      <charset val="204"/>
    </font>
  </fonts>
  <fills count="7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1F5F9"/>
      </patternFill>
    </fill>
    <fill>
      <patternFill patternType="solid">
        <fgColor rgb="FFFFC000"/>
        <bgColor indexed="64"/>
      </patternFill>
    </fill>
  </fills>
  <borders count="96">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s>
  <cellStyleXfs count="211">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9">
      <alignment horizontal="right" shrinkToFit="1"/>
    </xf>
    <xf numFmtId="4" fontId="74" fillId="49" borderId="59">
      <alignment horizontal="right" shrinkToFit="1"/>
    </xf>
    <xf numFmtId="4" fontId="75" fillId="0" borderId="60">
      <alignment horizontal="right" vertical="top" shrinkToFit="1"/>
    </xf>
    <xf numFmtId="4" fontId="76" fillId="50" borderId="61">
      <alignment horizontal="right" vertical="top" wrapText="1" shrinkToFit="1"/>
    </xf>
    <xf numFmtId="1" fontId="77" fillId="0" borderId="61">
      <alignment horizontal="left" vertical="top" wrapText="1"/>
    </xf>
    <xf numFmtId="4" fontId="76" fillId="51" borderId="61">
      <alignment horizontal="right" vertical="top" wrapText="1" shrinkToFit="1"/>
    </xf>
    <xf numFmtId="1" fontId="78" fillId="0" borderId="61">
      <alignment horizontal="left" vertical="top" wrapText="1"/>
    </xf>
    <xf numFmtId="4" fontId="79" fillId="52" borderId="61">
      <alignment horizontal="right" vertical="top" wrapText="1" shrinkToFit="1"/>
    </xf>
    <xf numFmtId="4" fontId="80" fillId="52" borderId="61">
      <alignment horizontal="right" vertical="top" wrapText="1" shrinkToFit="1"/>
    </xf>
    <xf numFmtId="4" fontId="81" fillId="0" borderId="61">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2"/>
    <xf numFmtId="0" fontId="83" fillId="53" borderId="62"/>
    <xf numFmtId="0" fontId="91" fillId="0" borderId="63">
      <alignment horizontal="center" vertical="center" wrapText="1"/>
    </xf>
    <xf numFmtId="0" fontId="90" fillId="0" borderId="62">
      <alignment horizontal="center"/>
    </xf>
    <xf numFmtId="0" fontId="92" fillId="0" borderId="63">
      <alignment horizontal="center" vertical="center"/>
    </xf>
    <xf numFmtId="0" fontId="81" fillId="53" borderId="64"/>
    <xf numFmtId="0" fontId="92" fillId="0" borderId="63">
      <alignment horizontal="center" vertical="center" wrapText="1"/>
    </xf>
    <xf numFmtId="0" fontId="83" fillId="53" borderId="64"/>
    <xf numFmtId="0" fontId="81" fillId="53" borderId="65"/>
    <xf numFmtId="0" fontId="83" fillId="53" borderId="66"/>
    <xf numFmtId="0" fontId="83" fillId="53" borderId="65"/>
    <xf numFmtId="1" fontId="81" fillId="0" borderId="61">
      <alignment horizontal="center" vertical="top"/>
    </xf>
    <xf numFmtId="0" fontId="93" fillId="0" borderId="61">
      <alignment horizontal="left" vertical="top" wrapText="1"/>
    </xf>
    <xf numFmtId="1" fontId="94" fillId="0" borderId="61">
      <alignment horizontal="left" vertical="top" wrapText="1"/>
    </xf>
    <xf numFmtId="0" fontId="81" fillId="53" borderId="67"/>
    <xf numFmtId="49" fontId="94" fillId="0" borderId="61">
      <alignment horizontal="left" vertical="top" wrapText="1"/>
    </xf>
    <xf numFmtId="0" fontId="83" fillId="53" borderId="67"/>
    <xf numFmtId="0" fontId="83" fillId="53" borderId="67"/>
    <xf numFmtId="0" fontId="81" fillId="53" borderId="0">
      <alignment horizontal="left"/>
    </xf>
    <xf numFmtId="0" fontId="83" fillId="53" borderId="65"/>
    <xf numFmtId="1" fontId="93" fillId="0" borderId="68">
      <alignment horizontal="left" vertical="top" wrapText="1"/>
    </xf>
    <xf numFmtId="1" fontId="78" fillId="0" borderId="61">
      <alignment horizontal="left" vertical="top"/>
    </xf>
    <xf numFmtId="0" fontId="93" fillId="0" borderId="69">
      <alignment horizontal="left" vertical="top" wrapText="1"/>
    </xf>
    <xf numFmtId="49" fontId="94" fillId="0" borderId="61">
      <alignment horizontal="left" vertical="top" wrapText="1"/>
    </xf>
    <xf numFmtId="1" fontId="93" fillId="0" borderId="67">
      <alignment horizontal="left" vertical="top" wrapText="1"/>
    </xf>
    <xf numFmtId="0" fontId="81" fillId="53" borderId="70"/>
    <xf numFmtId="49" fontId="93" fillId="0" borderId="70">
      <alignment vertical="top" wrapText="1"/>
    </xf>
    <xf numFmtId="0" fontId="83" fillId="53" borderId="70"/>
    <xf numFmtId="1" fontId="93" fillId="0" borderId="0">
      <alignment horizontal="left" vertical="top" wrapText="1"/>
    </xf>
    <xf numFmtId="1" fontId="77" fillId="0" borderId="61">
      <alignment horizontal="left" vertical="top"/>
    </xf>
    <xf numFmtId="0" fontId="95" fillId="0" borderId="0"/>
    <xf numFmtId="0" fontId="95" fillId="0" borderId="0"/>
    <xf numFmtId="1" fontId="91" fillId="0" borderId="61">
      <alignment horizontal="left" vertical="top"/>
    </xf>
    <xf numFmtId="0" fontId="83" fillId="0" borderId="62"/>
    <xf numFmtId="0" fontId="96" fillId="0" borderId="0"/>
    <xf numFmtId="1" fontId="91" fillId="0" borderId="67">
      <alignment horizontal="left" vertical="top"/>
    </xf>
    <xf numFmtId="0" fontId="92" fillId="0" borderId="71">
      <alignment horizontal="center" vertical="center" wrapText="1"/>
    </xf>
    <xf numFmtId="0" fontId="94" fillId="0" borderId="0"/>
    <xf numFmtId="0" fontId="83" fillId="0" borderId="0"/>
    <xf numFmtId="0" fontId="94" fillId="0" borderId="61">
      <alignment horizontal="left" vertical="top" wrapText="1"/>
    </xf>
    <xf numFmtId="0" fontId="92" fillId="0" borderId="71">
      <alignment horizontal="center" vertical="center" wrapText="1"/>
    </xf>
    <xf numFmtId="0" fontId="81" fillId="0" borderId="0"/>
    <xf numFmtId="0" fontId="83" fillId="0" borderId="68">
      <alignment vertical="top"/>
    </xf>
    <xf numFmtId="4" fontId="93" fillId="52" borderId="61">
      <alignment horizontal="right" vertical="top" shrinkToFit="1"/>
    </xf>
    <xf numFmtId="0" fontId="94" fillId="0" borderId="61">
      <alignment horizontal="left" vertical="top" wrapText="1"/>
    </xf>
    <xf numFmtId="0" fontId="86" fillId="0" borderId="0">
      <alignment horizontal="center"/>
    </xf>
    <xf numFmtId="0" fontId="83" fillId="0" borderId="61">
      <alignment vertical="top"/>
    </xf>
    <xf numFmtId="4" fontId="94" fillId="0" borderId="61">
      <alignment horizontal="center" vertical="top"/>
    </xf>
    <xf numFmtId="0" fontId="83" fillId="0" borderId="67">
      <alignment vertical="top"/>
    </xf>
    <xf numFmtId="0" fontId="91" fillId="0" borderId="71">
      <alignment horizontal="center" vertical="center" wrapText="1"/>
    </xf>
    <xf numFmtId="4" fontId="94" fillId="0" borderId="61">
      <alignment horizontal="center" vertical="top"/>
    </xf>
    <xf numFmtId="4" fontId="94" fillId="0" borderId="61">
      <alignment horizontal="right" vertical="top" shrinkToFit="1"/>
    </xf>
    <xf numFmtId="0" fontId="83" fillId="0" borderId="0">
      <alignment vertical="top"/>
    </xf>
    <xf numFmtId="1" fontId="97" fillId="0" borderId="61">
      <alignment horizontal="center" vertical="top"/>
    </xf>
    <xf numFmtId="4" fontId="93" fillId="52" borderId="61">
      <alignment horizontal="right" vertical="top" shrinkToFit="1"/>
    </xf>
    <xf numFmtId="168" fontId="98" fillId="52" borderId="61">
      <alignment horizontal="right" vertical="top" shrinkToFit="1"/>
    </xf>
    <xf numFmtId="0" fontId="83" fillId="0" borderId="0">
      <alignment vertical="top"/>
    </xf>
    <xf numFmtId="0" fontId="83" fillId="0" borderId="61">
      <alignment vertical="top"/>
    </xf>
    <xf numFmtId="0" fontId="83" fillId="53" borderId="0"/>
    <xf numFmtId="0" fontId="83" fillId="53" borderId="70"/>
    <xf numFmtId="168" fontId="95" fillId="0" borderId="61">
      <alignment horizontal="right" vertical="top" shrinkToFit="1"/>
    </xf>
    <xf numFmtId="0" fontId="90" fillId="0" borderId="0">
      <alignment horizontal="center"/>
    </xf>
    <xf numFmtId="4" fontId="81" fillId="0" borderId="61">
      <alignment horizontal="right" vertical="top" shrinkToFit="1"/>
    </xf>
    <xf numFmtId="4" fontId="94" fillId="0" borderId="61">
      <alignment horizontal="right" vertical="top" shrinkToFit="1"/>
    </xf>
    <xf numFmtId="0" fontId="92" fillId="0" borderId="72">
      <alignment horizontal="center" vertical="center" wrapText="1"/>
    </xf>
    <xf numFmtId="4" fontId="81" fillId="0" borderId="61">
      <alignment horizontal="right" vertical="top" shrinkToFit="1"/>
    </xf>
    <xf numFmtId="4" fontId="80" fillId="52" borderId="61">
      <alignment horizontal="right" vertical="top" shrinkToFit="1"/>
    </xf>
    <xf numFmtId="168" fontId="95" fillId="0" borderId="61">
      <alignment horizontal="right" vertical="top" shrinkToFit="1"/>
    </xf>
    <xf numFmtId="4" fontId="79" fillId="52" borderId="61">
      <alignment horizontal="right" vertical="top" shrinkToFit="1"/>
    </xf>
    <xf numFmtId="4" fontId="76" fillId="51" borderId="61">
      <alignment horizontal="right" vertical="top" shrinkToFit="1"/>
    </xf>
    <xf numFmtId="168" fontId="98" fillId="52" borderId="61">
      <alignment horizontal="right" vertical="top" shrinkToFit="1"/>
    </xf>
    <xf numFmtId="170" fontId="81" fillId="0" borderId="61">
      <alignment horizontal="center" vertical="top" wrapText="1"/>
    </xf>
    <xf numFmtId="4" fontId="76" fillId="50" borderId="61">
      <alignment horizontal="right" vertical="top" shrinkToFit="1"/>
    </xf>
    <xf numFmtId="0" fontId="92" fillId="0" borderId="72">
      <alignment horizontal="center" vertical="center" wrapText="1"/>
    </xf>
    <xf numFmtId="4" fontId="93" fillId="0" borderId="67">
      <alignment horizontal="right" vertical="top" shrinkToFit="1"/>
    </xf>
    <xf numFmtId="4" fontId="77" fillId="0" borderId="67">
      <alignment horizontal="right" vertical="top" shrinkToFit="1"/>
    </xf>
    <xf numFmtId="0" fontId="92" fillId="0" borderId="63">
      <alignment horizontal="center" vertical="center" wrapText="1"/>
    </xf>
    <xf numFmtId="4" fontId="93" fillId="0" borderId="0">
      <alignment horizontal="right" vertical="top" shrinkToFit="1"/>
    </xf>
    <xf numFmtId="0" fontId="83" fillId="53" borderId="64"/>
    <xf numFmtId="4" fontId="77" fillId="52" borderId="61">
      <alignment horizontal="right" vertical="top" shrinkToFit="1"/>
    </xf>
    <xf numFmtId="0" fontId="81" fillId="0" borderId="67">
      <alignment vertical="top"/>
    </xf>
    <xf numFmtId="168" fontId="81" fillId="0" borderId="61">
      <alignment horizontal="right" vertical="top" shrinkToFit="1"/>
    </xf>
    <xf numFmtId="168" fontId="79" fillId="52" borderId="61">
      <alignment horizontal="right" vertical="top" shrinkToFit="1"/>
    </xf>
    <xf numFmtId="0" fontId="92" fillId="0" borderId="72">
      <alignment horizontal="center" vertical="center" wrapText="1"/>
    </xf>
    <xf numFmtId="0" fontId="92" fillId="0" borderId="63">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3" applyNumberFormat="0" applyAlignment="0" applyProtection="0"/>
    <xf numFmtId="0" fontId="40" fillId="17" borderId="3" applyNumberFormat="0" applyAlignment="0" applyProtection="0"/>
    <xf numFmtId="0" fontId="100" fillId="61" borderId="74" applyNumberFormat="0" applyAlignment="0" applyProtection="0"/>
    <xf numFmtId="0" fontId="41" fillId="17" borderId="2" applyNumberFormat="0" applyAlignment="0" applyProtection="0"/>
    <xf numFmtId="0" fontId="101" fillId="61" borderId="73" applyNumberFormat="0" applyAlignment="0" applyProtection="0"/>
    <xf numFmtId="0" fontId="42" fillId="0" borderId="4" applyNumberFormat="0" applyFill="0" applyAlignment="0" applyProtection="0"/>
    <xf numFmtId="0" fontId="102" fillId="0" borderId="75" applyNumberFormat="0" applyFill="0" applyAlignment="0" applyProtection="0"/>
    <xf numFmtId="0" fontId="43" fillId="0" borderId="5" applyNumberFormat="0" applyFill="0" applyAlignment="0" applyProtection="0"/>
    <xf numFmtId="0" fontId="103" fillId="0" borderId="76" applyNumberFormat="0" applyFill="0" applyAlignment="0" applyProtection="0"/>
    <xf numFmtId="0" fontId="44" fillId="0" borderId="6" applyNumberFormat="0" applyFill="0" applyAlignment="0" applyProtection="0"/>
    <xf numFmtId="0" fontId="104" fillId="0" borderId="77"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8" applyNumberFormat="0" applyFill="0" applyAlignment="0" applyProtection="0"/>
    <xf numFmtId="0" fontId="46" fillId="22" borderId="8" applyNumberFormat="0" applyAlignment="0" applyProtection="0"/>
    <xf numFmtId="0" fontId="106" fillId="62" borderId="79"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80" applyNumberFormat="0" applyFont="0" applyAlignment="0" applyProtection="0"/>
    <xf numFmtId="0" fontId="51" fillId="0" borderId="10" applyNumberFormat="0" applyFill="0" applyAlignment="0" applyProtection="0"/>
    <xf numFmtId="0" fontId="111" fillId="0" borderId="81"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60">
      <alignment horizontal="right" vertical="top" shrinkToFit="1"/>
    </xf>
    <xf numFmtId="4" fontId="74" fillId="49" borderId="59">
      <alignment horizontal="right" shrinkToFit="1"/>
    </xf>
    <xf numFmtId="4" fontId="140" fillId="77" borderId="60">
      <alignment horizontal="right" vertical="top" shrinkToFit="1"/>
    </xf>
  </cellStyleXfs>
  <cellXfs count="177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5" applyNumberFormat="1" applyFont="1" applyFill="1" applyBorder="1" applyAlignment="1">
      <alignment horizontal="center"/>
    </xf>
    <xf numFmtId="164" fontId="9" fillId="0" borderId="16" xfId="205" applyNumberFormat="1" applyFont="1" applyFill="1" applyBorder="1" applyAlignment="1">
      <alignment horizontal="center"/>
    </xf>
    <xf numFmtId="164" fontId="9" fillId="0" borderId="18" xfId="205" applyNumberFormat="1" applyFont="1" applyFill="1" applyBorder="1" applyAlignment="1">
      <alignment horizontal="center"/>
    </xf>
    <xf numFmtId="164" fontId="9" fillId="0" borderId="19" xfId="205"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5" applyNumberFormat="1" applyFont="1" applyFill="1" applyBorder="1" applyAlignment="1">
      <alignment horizontal="center"/>
    </xf>
    <xf numFmtId="164" fontId="9" fillId="0" borderId="21" xfId="205" applyNumberFormat="1" applyFont="1" applyFill="1" applyBorder="1" applyAlignment="1">
      <alignment horizontal="center"/>
    </xf>
    <xf numFmtId="164" fontId="9" fillId="0" borderId="20" xfId="205" applyNumberFormat="1" applyFont="1" applyFill="1" applyBorder="1" applyAlignment="1">
      <alignment horizontal="center"/>
    </xf>
    <xf numFmtId="164" fontId="9" fillId="0" borderId="23" xfId="205"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5" applyNumberFormat="1" applyFont="1" applyFill="1" applyBorder="1" applyAlignment="1">
      <alignment horizontal="center"/>
    </xf>
    <xf numFmtId="164" fontId="9" fillId="0" borderId="25" xfId="205" applyNumberFormat="1" applyFont="1" applyFill="1" applyBorder="1" applyAlignment="1">
      <alignment horizontal="center"/>
    </xf>
    <xf numFmtId="164" fontId="9" fillId="0" borderId="27" xfId="205" applyNumberFormat="1" applyFont="1" applyFill="1" applyBorder="1" applyAlignment="1">
      <alignment horizontal="center"/>
    </xf>
    <xf numFmtId="164" fontId="9" fillId="0" borderId="28" xfId="205"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5" applyNumberFormat="1" applyFont="1" applyFill="1" applyBorder="1" applyAlignment="1"/>
    <xf numFmtId="164" fontId="8" fillId="0" borderId="30" xfId="205" applyNumberFormat="1" applyFont="1" applyFill="1" applyBorder="1" applyAlignment="1"/>
    <xf numFmtId="164" fontId="8" fillId="0" borderId="0" xfId="205" applyNumberFormat="1" applyFont="1" applyFill="1" applyBorder="1" applyAlignment="1"/>
    <xf numFmtId="164" fontId="8" fillId="0" borderId="31" xfId="205"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5" applyNumberFormat="1" applyFont="1" applyFill="1" applyBorder="1" applyAlignment="1"/>
    <xf numFmtId="165" fontId="8" fillId="0" borderId="16" xfId="205" applyNumberFormat="1" applyFont="1" applyFill="1" applyBorder="1" applyAlignment="1"/>
    <xf numFmtId="165" fontId="8" fillId="0" borderId="32" xfId="205" applyNumberFormat="1" applyFont="1" applyFill="1" applyBorder="1" applyAlignment="1"/>
    <xf numFmtId="165" fontId="8" fillId="0" borderId="33" xfId="205" applyNumberFormat="1" applyFont="1" applyFill="1" applyBorder="1" applyAlignment="1"/>
    <xf numFmtId="165" fontId="8" fillId="0" borderId="0" xfId="205" applyNumberFormat="1" applyFont="1" applyFill="1" applyBorder="1" applyAlignment="1"/>
    <xf numFmtId="0" fontId="8" fillId="0" borderId="21" xfId="0" applyFont="1" applyFill="1" applyBorder="1"/>
    <xf numFmtId="164" fontId="8" fillId="0" borderId="11" xfId="205" applyNumberFormat="1" applyFont="1" applyFill="1" applyBorder="1" applyAlignment="1"/>
    <xf numFmtId="164" fontId="8" fillId="0" borderId="12" xfId="205"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5" applyNumberFormat="1" applyFont="1" applyFill="1" applyBorder="1" applyAlignment="1">
      <alignment horizontal="center"/>
    </xf>
    <xf numFmtId="164" fontId="8" fillId="0" borderId="34" xfId="205"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5" applyNumberFormat="1" applyFont="1" applyFill="1" applyBorder="1" applyAlignment="1">
      <alignment horizontal="center"/>
    </xf>
    <xf numFmtId="164" fontId="21" fillId="0" borderId="18" xfId="205" applyNumberFormat="1" applyFont="1" applyFill="1" applyBorder="1" applyAlignment="1">
      <alignment horizontal="center"/>
    </xf>
    <xf numFmtId="164" fontId="21" fillId="0" borderId="17" xfId="205" applyNumberFormat="1" applyFont="1" applyFill="1" applyBorder="1" applyAlignment="1">
      <alignment horizontal="center"/>
    </xf>
    <xf numFmtId="164" fontId="21" fillId="0" borderId="23" xfId="205" applyNumberFormat="1" applyFont="1" applyFill="1" applyBorder="1" applyAlignment="1">
      <alignment horizontal="center"/>
    </xf>
    <xf numFmtId="164" fontId="21" fillId="0" borderId="21" xfId="205" applyNumberFormat="1" applyFont="1" applyFill="1" applyBorder="1" applyAlignment="1">
      <alignment horizontal="center"/>
    </xf>
    <xf numFmtId="0" fontId="18" fillId="0" borderId="20" xfId="0" applyFont="1" applyFill="1" applyBorder="1"/>
    <xf numFmtId="164" fontId="21" fillId="0" borderId="20" xfId="205" applyNumberFormat="1" applyFont="1" applyFill="1" applyBorder="1" applyAlignment="1">
      <alignment horizontal="center"/>
    </xf>
    <xf numFmtId="164" fontId="21" fillId="0" borderId="22" xfId="205"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5" applyNumberFormat="1" applyFont="1" applyFill="1" applyBorder="1" applyAlignment="1">
      <alignment horizontal="center"/>
    </xf>
    <xf numFmtId="164" fontId="21" fillId="0" borderId="27" xfId="205" applyNumberFormat="1" applyFont="1" applyFill="1" applyBorder="1" applyAlignment="1">
      <alignment horizontal="center"/>
    </xf>
    <xf numFmtId="164" fontId="21" fillId="0" borderId="26" xfId="205" applyNumberFormat="1" applyFont="1" applyFill="1" applyBorder="1" applyAlignment="1">
      <alignment horizontal="center"/>
    </xf>
    <xf numFmtId="164" fontId="17" fillId="0" borderId="25" xfId="205" applyNumberFormat="1" applyFont="1" applyFill="1" applyBorder="1" applyAlignment="1">
      <alignment horizontal="center"/>
    </xf>
    <xf numFmtId="164" fontId="17" fillId="0" borderId="29" xfId="205" applyNumberFormat="1" applyFont="1" applyFill="1" applyBorder="1" applyAlignment="1"/>
    <xf numFmtId="164" fontId="17" fillId="0" borderId="24" xfId="205" applyNumberFormat="1" applyFont="1" applyFill="1" applyBorder="1" applyAlignment="1"/>
    <xf numFmtId="164" fontId="17" fillId="0" borderId="31" xfId="205" applyNumberFormat="1" applyFont="1" applyFill="1" applyBorder="1" applyAlignment="1"/>
    <xf numFmtId="164" fontId="17" fillId="0" borderId="14" xfId="205" applyNumberFormat="1" applyFont="1" applyFill="1" applyBorder="1" applyAlignment="1"/>
    <xf numFmtId="164" fontId="17" fillId="0" borderId="30" xfId="205" applyNumberFormat="1" applyFont="1" applyFill="1" applyBorder="1" applyAlignment="1"/>
    <xf numFmtId="164" fontId="17" fillId="0" borderId="36" xfId="205" applyNumberFormat="1" applyFont="1" applyFill="1" applyBorder="1" applyAlignment="1"/>
    <xf numFmtId="164" fontId="17" fillId="0" borderId="11" xfId="205" applyNumberFormat="1" applyFont="1" applyFill="1" applyBorder="1" applyAlignment="1"/>
    <xf numFmtId="164" fontId="17" fillId="0" borderId="34" xfId="205" applyNumberFormat="1" applyFont="1" applyFill="1" applyBorder="1" applyAlignment="1"/>
    <xf numFmtId="164" fontId="17" fillId="0" borderId="16" xfId="205" applyNumberFormat="1" applyFont="1" applyFill="1" applyBorder="1" applyAlignment="1"/>
    <xf numFmtId="164" fontId="17" fillId="0" borderId="33" xfId="205" applyNumberFormat="1" applyFont="1" applyFill="1" applyBorder="1" applyAlignment="1"/>
    <xf numFmtId="165" fontId="17" fillId="0" borderId="37" xfId="205" applyNumberFormat="1" applyFont="1" applyFill="1" applyBorder="1" applyAlignment="1"/>
    <xf numFmtId="164" fontId="17" fillId="0" borderId="32" xfId="205" applyNumberFormat="1" applyFont="1" applyFill="1" applyBorder="1" applyAlignment="1"/>
    <xf numFmtId="164" fontId="23" fillId="0" borderId="16" xfId="205" applyNumberFormat="1" applyFont="1" applyFill="1" applyBorder="1" applyAlignment="1"/>
    <xf numFmtId="164" fontId="17" fillId="0" borderId="12" xfId="205"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12"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5" applyNumberFormat="1" applyFont="1" applyFill="1" applyBorder="1" applyAlignment="1">
      <alignment horizontal="center"/>
    </xf>
    <xf numFmtId="164" fontId="17" fillId="0" borderId="30" xfId="205" applyNumberFormat="1" applyFont="1" applyFill="1" applyBorder="1" applyAlignment="1">
      <alignment horizontal="center"/>
    </xf>
    <xf numFmtId="164" fontId="17" fillId="0" borderId="36" xfId="205" applyNumberFormat="1" applyFont="1" applyFill="1" applyBorder="1" applyAlignment="1">
      <alignment horizontal="center"/>
    </xf>
    <xf numFmtId="164" fontId="17" fillId="0" borderId="14" xfId="205" applyNumberFormat="1" applyFont="1" applyFill="1" applyBorder="1" applyAlignment="1">
      <alignment horizontal="center"/>
    </xf>
    <xf numFmtId="164" fontId="17" fillId="0" borderId="34" xfId="205"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164" fontId="30" fillId="0" borderId="38" xfId="205" applyFont="1" applyFill="1" applyBorder="1" applyAlignment="1"/>
    <xf numFmtId="0" fontId="29" fillId="0" borderId="0" xfId="0" applyFont="1"/>
    <xf numFmtId="164" fontId="8" fillId="0" borderId="14" xfId="205" applyNumberFormat="1" applyFont="1" applyFill="1" applyBorder="1" applyAlignment="1"/>
    <xf numFmtId="164" fontId="21" fillId="0" borderId="15" xfId="205"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5" applyNumberFormat="1" applyFont="1" applyFill="1" applyBorder="1" applyAlignment="1"/>
    <xf numFmtId="0" fontId="25" fillId="0" borderId="31" xfId="0" applyFont="1" applyFill="1" applyBorder="1"/>
    <xf numFmtId="164" fontId="21" fillId="0" borderId="24" xfId="205"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5" applyFont="1" applyFill="1" applyBorder="1" applyAlignment="1">
      <alignment horizontal="center" wrapText="1" shrinkToFit="1"/>
    </xf>
    <xf numFmtId="164" fontId="24" fillId="0" borderId="17" xfId="205" applyFont="1" applyFill="1" applyBorder="1" applyAlignment="1">
      <alignment horizontal="center" wrapText="1" shrinkToFit="1"/>
    </xf>
    <xf numFmtId="164" fontId="24" fillId="0" borderId="22" xfId="205" applyFont="1" applyFill="1" applyBorder="1" applyAlignment="1">
      <alignment horizontal="center" wrapText="1" shrinkToFit="1"/>
    </xf>
    <xf numFmtId="164" fontId="24" fillId="0" borderId="26" xfId="205"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5"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5" applyFont="1" applyBorder="1" applyAlignment="1">
      <alignment horizontal="center" vertical="center" wrapText="1"/>
    </xf>
    <xf numFmtId="164" fontId="7" fillId="0" borderId="38" xfId="205" applyNumberFormat="1" applyFont="1" applyBorder="1" applyAlignment="1">
      <alignment horizontal="center" vertical="center"/>
    </xf>
    <xf numFmtId="164" fontId="7" fillId="0" borderId="38" xfId="205"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5" applyFont="1" applyBorder="1" applyAlignment="1">
      <alignment horizontal="center" vertical="center" wrapText="1"/>
    </xf>
    <xf numFmtId="164" fontId="31" fillId="0" borderId="38" xfId="205"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5"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5" applyFont="1" applyFill="1" applyBorder="1" applyAlignment="1">
      <alignment horizontal="center" vertical="center" wrapText="1"/>
    </xf>
    <xf numFmtId="164" fontId="23" fillId="0" borderId="18" xfId="205" applyNumberFormat="1" applyFont="1" applyFill="1" applyBorder="1" applyAlignment="1"/>
    <xf numFmtId="164" fontId="29" fillId="0" borderId="38" xfId="205" applyFont="1" applyFill="1" applyBorder="1" applyAlignment="1">
      <alignment vertical="center" wrapText="1"/>
    </xf>
    <xf numFmtId="164" fontId="17" fillId="0" borderId="37" xfId="205"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5"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5"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5" applyNumberFormat="1" applyFont="1" applyFill="1" applyBorder="1" applyAlignment="1"/>
    <xf numFmtId="164" fontId="8" fillId="0" borderId="15" xfId="205" applyNumberFormat="1" applyFont="1" applyFill="1" applyBorder="1" applyAlignment="1"/>
    <xf numFmtId="164" fontId="12" fillId="0" borderId="38" xfId="205" applyNumberFormat="1" applyFont="1" applyFill="1" applyBorder="1" applyAlignment="1">
      <alignment vertical="center"/>
    </xf>
    <xf numFmtId="0" fontId="7" fillId="0" borderId="38" xfId="0" applyFont="1" applyBorder="1" applyAlignment="1">
      <alignment horizontal="center" vertical="center"/>
    </xf>
    <xf numFmtId="164" fontId="12" fillId="0" borderId="38" xfId="205"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5" applyNumberFormat="1" applyFont="1" applyFill="1" applyBorder="1" applyAlignment="1">
      <alignment horizontal="right" vertical="center" wrapText="1" shrinkToFit="1"/>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22" xfId="0" applyFont="1" applyFill="1" applyBorder="1" applyAlignment="1">
      <alignment horizontal="center"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5"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5"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0" fontId="29" fillId="0" borderId="0" xfId="0" applyFont="1" applyFill="1" applyBorder="1"/>
    <xf numFmtId="164" fontId="20" fillId="0" borderId="0" xfId="205"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164" fontId="24" fillId="0" borderId="0" xfId="0" applyNumberFormat="1" applyFont="1" applyFill="1" applyBorder="1" applyAlignment="1">
      <alignment horizontal="center" vertical="center"/>
    </xf>
    <xf numFmtId="165" fontId="17" fillId="0" borderId="13" xfId="205"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5"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3" applyNumberFormat="1" applyFont="1" applyBorder="1" applyAlignment="1">
      <alignment horizontal="right" shrinkToFit="1"/>
    </xf>
    <xf numFmtId="164" fontId="24" fillId="0" borderId="38" xfId="205"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5"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4" fontId="23" fillId="0" borderId="0" xfId="190" applyNumberFormat="1" applyFont="1" applyFill="1" applyBorder="1" applyAlignment="1">
      <alignment horizontal="right" shrinkToFit="1"/>
    </xf>
    <xf numFmtId="164" fontId="24" fillId="0" borderId="0" xfId="205" applyFont="1" applyFill="1" applyBorder="1" applyAlignment="1">
      <alignment horizontal="right" vertical="top" shrinkToFit="1"/>
    </xf>
    <xf numFmtId="164" fontId="21" fillId="0" borderId="33" xfId="205" applyNumberFormat="1" applyFont="1" applyFill="1" applyBorder="1" applyAlignment="1">
      <alignment horizontal="center"/>
    </xf>
    <xf numFmtId="164" fontId="24" fillId="0" borderId="18" xfId="205" applyFont="1" applyFill="1" applyBorder="1" applyAlignment="1">
      <alignment horizontal="center" wrapText="1" shrinkToFit="1"/>
    </xf>
    <xf numFmtId="164" fontId="24" fillId="0" borderId="20" xfId="205" applyFont="1" applyFill="1" applyBorder="1" applyAlignment="1">
      <alignment horizontal="center" wrapText="1" shrinkToFit="1"/>
    </xf>
    <xf numFmtId="164" fontId="24" fillId="0" borderId="27" xfId="205" applyFont="1" applyFill="1" applyBorder="1" applyAlignment="1">
      <alignment horizontal="center" wrapText="1" shrinkToFit="1"/>
    </xf>
    <xf numFmtId="164" fontId="31" fillId="25" borderId="38" xfId="205" applyFont="1" applyFill="1" applyBorder="1" applyAlignment="1">
      <alignment horizontal="center" vertical="center" wrapText="1"/>
    </xf>
    <xf numFmtId="164" fontId="29" fillId="0" borderId="38" xfId="205" applyFont="1" applyBorder="1" applyAlignment="1">
      <alignment horizontal="center" vertical="center" wrapText="1"/>
    </xf>
    <xf numFmtId="164" fontId="29" fillId="0" borderId="38" xfId="205" applyFont="1" applyFill="1" applyBorder="1" applyAlignment="1">
      <alignment vertical="center"/>
    </xf>
    <xf numFmtId="164" fontId="31" fillId="0" borderId="38" xfId="205" applyFont="1" applyBorder="1" applyAlignment="1">
      <alignment vertical="center"/>
    </xf>
    <xf numFmtId="164" fontId="29" fillId="0" borderId="38" xfId="205" applyFont="1" applyBorder="1" applyAlignment="1">
      <alignment vertical="center"/>
    </xf>
    <xf numFmtId="164" fontId="31" fillId="25" borderId="38" xfId="205" applyFont="1" applyFill="1" applyBorder="1" applyAlignment="1">
      <alignment vertical="center"/>
    </xf>
    <xf numFmtId="164" fontId="31" fillId="0" borderId="38" xfId="205" applyFont="1" applyFill="1" applyBorder="1" applyAlignment="1">
      <alignment vertical="center"/>
    </xf>
    <xf numFmtId="165" fontId="31" fillId="0" borderId="0" xfId="205" applyNumberFormat="1" applyFont="1" applyAlignment="1">
      <alignment horizontal="center" vertical="center" wrapText="1"/>
    </xf>
    <xf numFmtId="164" fontId="23" fillId="26" borderId="38" xfId="205" applyFont="1" applyFill="1" applyBorder="1" applyAlignment="1">
      <alignment vertical="center"/>
    </xf>
    <xf numFmtId="164" fontId="24" fillId="0" borderId="38" xfId="205" applyFont="1" applyFill="1" applyBorder="1" applyAlignment="1">
      <alignment vertical="center"/>
    </xf>
    <xf numFmtId="0" fontId="7" fillId="27" borderId="38" xfId="0" applyFont="1" applyFill="1" applyBorder="1" applyAlignment="1">
      <alignment horizontal="center" vertical="center"/>
    </xf>
    <xf numFmtId="164" fontId="23" fillId="26" borderId="42" xfId="205" applyFont="1" applyFill="1" applyBorder="1" applyAlignment="1">
      <alignment vertical="center"/>
    </xf>
    <xf numFmtId="164" fontId="24" fillId="0" borderId="0" xfId="205"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5" applyNumberFormat="1" applyFont="1" applyFill="1" applyBorder="1" applyAlignment="1">
      <alignment horizontal="center"/>
    </xf>
    <xf numFmtId="164" fontId="9" fillId="27" borderId="16" xfId="205" applyNumberFormat="1" applyFont="1" applyFill="1" applyBorder="1" applyAlignment="1">
      <alignment horizontal="center"/>
    </xf>
    <xf numFmtId="164" fontId="9" fillId="27" borderId="17" xfId="205" applyNumberFormat="1" applyFont="1" applyFill="1" applyBorder="1" applyAlignment="1">
      <alignment horizontal="center"/>
    </xf>
    <xf numFmtId="164" fontId="9" fillId="27" borderId="19" xfId="205" applyNumberFormat="1" applyFont="1" applyFill="1" applyBorder="1" applyAlignment="1">
      <alignment horizontal="center"/>
    </xf>
    <xf numFmtId="164" fontId="9" fillId="27" borderId="16" xfId="0" applyNumberFormat="1" applyFont="1" applyFill="1" applyBorder="1"/>
    <xf numFmtId="164" fontId="9" fillId="27" borderId="20" xfId="205" applyNumberFormat="1" applyFont="1" applyFill="1" applyBorder="1" applyAlignment="1">
      <alignment horizontal="center"/>
    </xf>
    <xf numFmtId="164" fontId="9" fillId="27" borderId="21" xfId="205" applyNumberFormat="1" applyFont="1" applyFill="1" applyBorder="1" applyAlignment="1">
      <alignment horizontal="center"/>
    </xf>
    <xf numFmtId="164" fontId="9" fillId="27" borderId="22" xfId="205" applyNumberFormat="1" applyFont="1" applyFill="1" applyBorder="1" applyAlignment="1">
      <alignment horizontal="center"/>
    </xf>
    <xf numFmtId="164" fontId="9" fillId="27" borderId="23" xfId="205" applyNumberFormat="1" applyFont="1" applyFill="1" applyBorder="1" applyAlignment="1">
      <alignment horizontal="center"/>
    </xf>
    <xf numFmtId="164" fontId="9" fillId="27" borderId="21" xfId="0" applyNumberFormat="1" applyFont="1" applyFill="1" applyBorder="1"/>
    <xf numFmtId="164" fontId="9" fillId="27" borderId="27" xfId="205" applyNumberFormat="1" applyFont="1" applyFill="1" applyBorder="1" applyAlignment="1">
      <alignment horizontal="center"/>
    </xf>
    <xf numFmtId="164" fontId="9" fillId="27" borderId="25" xfId="205" applyNumberFormat="1" applyFont="1" applyFill="1" applyBorder="1" applyAlignment="1">
      <alignment horizontal="center"/>
    </xf>
    <xf numFmtId="164" fontId="9" fillId="27" borderId="26" xfId="205" applyNumberFormat="1" applyFont="1" applyFill="1" applyBorder="1" applyAlignment="1">
      <alignment horizontal="center"/>
    </xf>
    <xf numFmtId="164" fontId="9" fillId="27" borderId="28" xfId="205" applyNumberFormat="1" applyFont="1" applyFill="1" applyBorder="1" applyAlignment="1">
      <alignment horizontal="center"/>
    </xf>
    <xf numFmtId="164" fontId="9" fillId="27" borderId="25" xfId="0" applyNumberFormat="1" applyFont="1" applyFill="1" applyBorder="1"/>
    <xf numFmtId="164" fontId="8" fillId="27" borderId="14" xfId="205" applyNumberFormat="1" applyFont="1" applyFill="1" applyBorder="1" applyAlignment="1"/>
    <xf numFmtId="164" fontId="8" fillId="27" borderId="30" xfId="205" applyNumberFormat="1" applyFont="1" applyFill="1" applyBorder="1" applyAlignment="1"/>
    <xf numFmtId="164" fontId="8" fillId="27" borderId="29" xfId="205" applyNumberFormat="1" applyFont="1" applyFill="1" applyBorder="1" applyAlignment="1"/>
    <xf numFmtId="164" fontId="8" fillId="27" borderId="44" xfId="205" applyNumberFormat="1" applyFont="1" applyFill="1" applyBorder="1" applyAlignment="1"/>
    <xf numFmtId="165" fontId="8" fillId="27" borderId="33" xfId="205" applyNumberFormat="1" applyFont="1" applyFill="1" applyBorder="1" applyAlignment="1"/>
    <xf numFmtId="165" fontId="8" fillId="27" borderId="0" xfId="205" applyNumberFormat="1" applyFont="1" applyFill="1" applyBorder="1" applyAlignment="1"/>
    <xf numFmtId="165" fontId="8" fillId="27" borderId="31" xfId="205" applyNumberFormat="1" applyFont="1" applyFill="1" applyBorder="1" applyAlignment="1"/>
    <xf numFmtId="0" fontId="8" fillId="27" borderId="31" xfId="0" applyFont="1" applyFill="1" applyBorder="1"/>
    <xf numFmtId="164" fontId="8" fillId="27" borderId="11" xfId="205" applyNumberFormat="1" applyFont="1" applyFill="1" applyBorder="1" applyAlignment="1"/>
    <xf numFmtId="164" fontId="8" fillId="27" borderId="12" xfId="205"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5" applyNumberFormat="1" applyFont="1" applyFill="1" applyBorder="1" applyAlignment="1">
      <alignment horizontal="center"/>
    </xf>
    <xf numFmtId="164" fontId="8" fillId="27" borderId="34" xfId="205"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5" applyFont="1" applyFill="1" applyBorder="1" applyAlignment="1">
      <alignment horizontal="center" wrapText="1" shrinkToFit="1"/>
    </xf>
    <xf numFmtId="164" fontId="24" fillId="25" borderId="16" xfId="205" applyFont="1" applyFill="1" applyBorder="1" applyAlignment="1">
      <alignment horizontal="center"/>
    </xf>
    <xf numFmtId="0" fontId="23" fillId="0" borderId="0" xfId="0" applyFont="1" applyFill="1" applyAlignment="1">
      <alignment horizontal="center"/>
    </xf>
    <xf numFmtId="164" fontId="23" fillId="0" borderId="21" xfId="205" applyFont="1" applyFill="1" applyBorder="1" applyAlignment="1">
      <alignment horizontal="center" wrapText="1" shrinkToFit="1"/>
    </xf>
    <xf numFmtId="164" fontId="23" fillId="27" borderId="21" xfId="205" applyFont="1" applyFill="1" applyBorder="1" applyAlignment="1">
      <alignment horizontal="center" wrapText="1" shrinkToFit="1"/>
    </xf>
    <xf numFmtId="164" fontId="24" fillId="25" borderId="21" xfId="205" applyFont="1" applyFill="1" applyBorder="1" applyAlignment="1">
      <alignment horizontal="center"/>
    </xf>
    <xf numFmtId="164" fontId="23" fillId="25" borderId="21" xfId="205" applyFont="1" applyFill="1" applyBorder="1" applyAlignment="1">
      <alignment horizontal="center"/>
    </xf>
    <xf numFmtId="164" fontId="24" fillId="25" borderId="25" xfId="205" applyFont="1" applyFill="1" applyBorder="1" applyAlignment="1">
      <alignment horizontal="center"/>
    </xf>
    <xf numFmtId="164" fontId="23" fillId="0" borderId="29" xfId="205" applyFont="1" applyFill="1" applyBorder="1" applyAlignment="1">
      <alignment horizontal="center"/>
    </xf>
    <xf numFmtId="164" fontId="23" fillId="0" borderId="11" xfId="205"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5" applyFont="1"/>
    <xf numFmtId="0" fontId="3" fillId="0" borderId="0" xfId="0" applyFont="1" applyAlignment="1">
      <alignment vertical="center"/>
    </xf>
    <xf numFmtId="164" fontId="12" fillId="0" borderId="38" xfId="205"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5"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5" applyFont="1" applyFill="1" applyBorder="1" applyAlignment="1">
      <alignment vertical="center"/>
    </xf>
    <xf numFmtId="164" fontId="24" fillId="0" borderId="0" xfId="205"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5"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5"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5"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5"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164" fontId="62" fillId="27" borderId="38" xfId="205"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5"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5" applyFont="1" applyFill="1" applyBorder="1" applyAlignment="1">
      <alignment vertical="center"/>
    </xf>
    <xf numFmtId="164" fontId="62" fillId="29" borderId="38" xfId="205" applyFont="1" applyFill="1" applyBorder="1" applyAlignment="1">
      <alignment vertical="center"/>
    </xf>
    <xf numFmtId="164" fontId="29" fillId="30" borderId="38" xfId="205" applyFont="1" applyFill="1" applyBorder="1" applyAlignment="1">
      <alignment horizontal="center" vertical="center" wrapText="1"/>
    </xf>
    <xf numFmtId="165" fontId="29" fillId="0" borderId="0" xfId="205"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5" applyFont="1"/>
    <xf numFmtId="4" fontId="24" fillId="0" borderId="0" xfId="0" applyNumberFormat="1" applyFont="1" applyBorder="1"/>
    <xf numFmtId="164" fontId="23" fillId="0" borderId="38" xfId="205" applyFont="1" applyFill="1" applyBorder="1"/>
    <xf numFmtId="0" fontId="23" fillId="0" borderId="0" xfId="0" applyFont="1" applyBorder="1" applyAlignment="1">
      <alignment horizontal="center"/>
    </xf>
    <xf numFmtId="4" fontId="23" fillId="0" borderId="0" xfId="194"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5"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5" applyFont="1" applyAlignment="1"/>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5" applyFont="1" applyFill="1" applyAlignment="1"/>
    <xf numFmtId="164" fontId="20" fillId="0" borderId="0" xfId="205" applyFont="1" applyAlignment="1"/>
    <xf numFmtId="164" fontId="20" fillId="0" borderId="0" xfId="205"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0" xfId="0" applyFont="1" applyBorder="1" applyAlignment="1">
      <alignment wrapText="1"/>
    </xf>
    <xf numFmtId="164" fontId="30" fillId="0" borderId="0" xfId="0" applyNumberFormat="1" applyFont="1" applyFill="1"/>
    <xf numFmtId="0" fontId="20" fillId="0" borderId="38" xfId="0" applyFont="1" applyBorder="1" applyAlignment="1">
      <alignment horizontal="center"/>
    </xf>
    <xf numFmtId="164" fontId="29" fillId="0" borderId="38" xfId="205" applyFont="1" applyBorder="1" applyAlignment="1">
      <alignment horizontal="center" vertical="center"/>
    </xf>
    <xf numFmtId="164" fontId="29" fillId="0" borderId="0" xfId="205" applyFont="1" applyBorder="1" applyAlignment="1">
      <alignment horizontal="center" vertical="center"/>
    </xf>
    <xf numFmtId="164" fontId="31" fillId="0" borderId="40" xfId="205"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5" applyFont="1" applyFill="1" applyBorder="1" applyAlignment="1">
      <alignment vertical="center"/>
    </xf>
    <xf numFmtId="164" fontId="12" fillId="67" borderId="38" xfId="205" applyFont="1" applyFill="1" applyBorder="1" applyAlignment="1">
      <alignment vertical="center"/>
    </xf>
    <xf numFmtId="164" fontId="24" fillId="25" borderId="22" xfId="205" applyFont="1" applyFill="1" applyBorder="1" applyAlignment="1">
      <alignment horizontal="center"/>
    </xf>
    <xf numFmtId="164" fontId="24" fillId="25" borderId="26" xfId="205" applyFont="1" applyFill="1" applyBorder="1" applyAlignment="1">
      <alignment horizontal="center"/>
    </xf>
    <xf numFmtId="164" fontId="23" fillId="0" borderId="14" xfId="205" applyFont="1" applyFill="1" applyBorder="1" applyAlignment="1">
      <alignment horizontal="center"/>
    </xf>
    <xf numFmtId="0" fontId="23" fillId="27" borderId="29" xfId="0" applyFont="1" applyFill="1" applyBorder="1" applyAlignment="1">
      <alignment horizontal="center" vertical="center"/>
    </xf>
    <xf numFmtId="164" fontId="115" fillId="0" borderId="0" xfId="0" applyNumberFormat="1" applyFont="1" applyFill="1" applyAlignment="1">
      <alignment vertical="center"/>
    </xf>
    <xf numFmtId="4" fontId="116" fillId="0" borderId="38" xfId="188" applyNumberFormat="1" applyFont="1" applyFill="1" applyBorder="1" applyAlignment="1">
      <alignment horizontal="center" vertical="center"/>
    </xf>
    <xf numFmtId="164" fontId="117" fillId="0" borderId="38" xfId="205"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5"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5" applyFont="1" applyFill="1" applyBorder="1" applyAlignment="1">
      <alignment horizontal="center" vertical="center"/>
    </xf>
    <xf numFmtId="164" fontId="31" fillId="0" borderId="38" xfId="205" applyFont="1" applyBorder="1" applyAlignment="1">
      <alignment horizontal="center" vertical="center"/>
    </xf>
    <xf numFmtId="164" fontId="118" fillId="29" borderId="38" xfId="205" applyFont="1" applyFill="1" applyBorder="1" applyAlignment="1">
      <alignment vertical="center"/>
    </xf>
    <xf numFmtId="164" fontId="24" fillId="0" borderId="16" xfId="205" applyFont="1" applyFill="1" applyBorder="1" applyAlignment="1">
      <alignment horizontal="center" wrapText="1" shrinkToFit="1"/>
    </xf>
    <xf numFmtId="164" fontId="24" fillId="0" borderId="25" xfId="205" applyFont="1" applyFill="1" applyBorder="1" applyAlignment="1">
      <alignment horizontal="center" wrapText="1" shrinkToFit="1"/>
    </xf>
    <xf numFmtId="164" fontId="17" fillId="0" borderId="47" xfId="205" applyNumberFormat="1" applyFont="1" applyFill="1" applyBorder="1" applyAlignment="1"/>
    <xf numFmtId="164" fontId="23" fillId="0" borderId="19" xfId="205" applyNumberFormat="1" applyFont="1" applyFill="1" applyBorder="1" applyAlignment="1"/>
    <xf numFmtId="164" fontId="24" fillId="0" borderId="23" xfId="205" applyFont="1" applyFill="1" applyBorder="1" applyAlignment="1">
      <alignment horizontal="center" wrapText="1" shrinkToFit="1"/>
    </xf>
    <xf numFmtId="164" fontId="23" fillId="0" borderId="16" xfId="205" applyFont="1" applyFill="1" applyBorder="1" applyAlignment="1">
      <alignment horizontal="center"/>
    </xf>
    <xf numFmtId="0" fontId="23" fillId="0" borderId="42" xfId="0" applyFont="1" applyFill="1" applyBorder="1" applyAlignment="1">
      <alignment horizontal="center" vertical="center"/>
    </xf>
    <xf numFmtId="0" fontId="68" fillId="0" borderId="0" xfId="0" applyFont="1" applyAlignment="1">
      <alignment horizontal="left"/>
    </xf>
    <xf numFmtId="164" fontId="24" fillId="25" borderId="18" xfId="205" applyFont="1" applyFill="1" applyBorder="1" applyAlignment="1">
      <alignment horizontal="center"/>
    </xf>
    <xf numFmtId="164" fontId="24" fillId="25" borderId="20" xfId="205" applyFont="1" applyFill="1" applyBorder="1" applyAlignment="1">
      <alignment horizontal="center"/>
    </xf>
    <xf numFmtId="164" fontId="24" fillId="25" borderId="27" xfId="205" applyFont="1" applyFill="1" applyBorder="1" applyAlignment="1">
      <alignment horizontal="center"/>
    </xf>
    <xf numFmtId="164" fontId="24" fillId="0" borderId="33" xfId="205" applyFont="1" applyFill="1" applyBorder="1" applyAlignment="1">
      <alignment horizontal="center"/>
    </xf>
    <xf numFmtId="164" fontId="23" fillId="25" borderId="14" xfId="205" applyFont="1" applyFill="1" applyBorder="1" applyAlignment="1">
      <alignment horizontal="center"/>
    </xf>
    <xf numFmtId="164" fontId="23" fillId="0" borderId="33" xfId="205" applyFont="1" applyFill="1" applyBorder="1" applyAlignment="1">
      <alignment horizontal="center"/>
    </xf>
    <xf numFmtId="164" fontId="23" fillId="25" borderId="31" xfId="205" applyFont="1" applyFill="1" applyBorder="1" applyAlignment="1">
      <alignment horizontal="center"/>
    </xf>
    <xf numFmtId="164" fontId="23" fillId="25" borderId="11" xfId="205" applyFont="1" applyFill="1" applyBorder="1" applyAlignment="1">
      <alignment horizontal="center"/>
    </xf>
    <xf numFmtId="164" fontId="23" fillId="0" borderId="31" xfId="205" applyFont="1" applyFill="1" applyBorder="1" applyAlignment="1">
      <alignment horizontal="center"/>
    </xf>
    <xf numFmtId="164" fontId="23" fillId="25" borderId="29" xfId="205" applyFont="1" applyFill="1" applyBorder="1" applyAlignment="1">
      <alignment horizontal="center"/>
    </xf>
    <xf numFmtId="164" fontId="23" fillId="0" borderId="36" xfId="205" applyFont="1" applyFill="1" applyBorder="1" applyAlignment="1">
      <alignment horizontal="center"/>
    </xf>
    <xf numFmtId="164" fontId="23" fillId="25" borderId="20" xfId="205"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5" applyFont="1" applyFill="1" applyBorder="1" applyAlignment="1">
      <alignment vertical="center"/>
    </xf>
    <xf numFmtId="165" fontId="31" fillId="0" borderId="0" xfId="205"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5" applyNumberFormat="1" applyFont="1" applyFill="1" applyBorder="1" applyAlignment="1">
      <alignment horizontal="center"/>
    </xf>
    <xf numFmtId="164" fontId="115" fillId="25" borderId="16" xfId="205" applyFont="1" applyFill="1" applyBorder="1" applyAlignment="1">
      <alignment horizontal="center"/>
    </xf>
    <xf numFmtId="164" fontId="115" fillId="25" borderId="21" xfId="205" applyFont="1" applyFill="1" applyBorder="1" applyAlignment="1">
      <alignment horizontal="center"/>
    </xf>
    <xf numFmtId="164"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5" applyNumberFormat="1" applyFont="1" applyFill="1" applyBorder="1" applyAlignment="1">
      <alignment vertical="center"/>
    </xf>
    <xf numFmtId="166" fontId="27" fillId="25" borderId="38" xfId="205" applyNumberFormat="1" applyFont="1" applyFill="1" applyBorder="1" applyAlignment="1">
      <alignment vertical="center"/>
    </xf>
    <xf numFmtId="166" fontId="27" fillId="0" borderId="38" xfId="0" applyNumberFormat="1" applyFont="1" applyBorder="1" applyAlignment="1">
      <alignment vertical="center"/>
    </xf>
    <xf numFmtId="164" fontId="31" fillId="67" borderId="38" xfId="205" applyFont="1" applyFill="1" applyBorder="1" applyAlignment="1">
      <alignment vertical="center"/>
    </xf>
    <xf numFmtId="0" fontId="60" fillId="67" borderId="38" xfId="0" applyFont="1" applyFill="1" applyBorder="1" applyAlignment="1">
      <alignment horizontal="center" vertical="center" wrapText="1"/>
    </xf>
    <xf numFmtId="164" fontId="117" fillId="0" borderId="38" xfId="205" applyFont="1" applyFill="1" applyBorder="1" applyAlignment="1">
      <alignment vertical="center"/>
    </xf>
    <xf numFmtId="164" fontId="24" fillId="0" borderId="18" xfId="205" applyFont="1" applyFill="1" applyBorder="1" applyAlignment="1">
      <alignment horizontal="center"/>
    </xf>
    <xf numFmtId="164" fontId="24" fillId="0" borderId="37" xfId="205" applyFont="1" applyFill="1" applyBorder="1" applyAlignment="1">
      <alignment horizontal="center"/>
    </xf>
    <xf numFmtId="164" fontId="24" fillId="25" borderId="23" xfId="205" applyFont="1" applyFill="1" applyBorder="1" applyAlignment="1">
      <alignment horizontal="center"/>
    </xf>
    <xf numFmtId="164" fontId="20" fillId="0" borderId="0" xfId="205" applyFont="1" applyBorder="1" applyAlignment="1">
      <alignment horizontal="right" wrapText="1" shrinkToFit="1"/>
    </xf>
    <xf numFmtId="164" fontId="30" fillId="0" borderId="0" xfId="205" applyFont="1" applyBorder="1" applyAlignment="1"/>
    <xf numFmtId="164" fontId="24" fillId="0" borderId="16" xfId="205" applyFont="1" applyFill="1" applyBorder="1" applyAlignment="1">
      <alignment horizontal="center"/>
    </xf>
    <xf numFmtId="0" fontId="56" fillId="0" borderId="0" xfId="0" applyFont="1" applyFill="1" applyAlignment="1"/>
    <xf numFmtId="164" fontId="62" fillId="69" borderId="38" xfId="205" applyFont="1" applyFill="1" applyBorder="1" applyAlignment="1">
      <alignment vertical="center"/>
    </xf>
    <xf numFmtId="164" fontId="24" fillId="68" borderId="16" xfId="205" applyFont="1" applyFill="1" applyBorder="1" applyAlignment="1">
      <alignment horizontal="center"/>
    </xf>
    <xf numFmtId="164" fontId="24" fillId="68" borderId="17" xfId="205" applyFont="1" applyFill="1" applyBorder="1" applyAlignment="1">
      <alignment horizontal="center"/>
    </xf>
    <xf numFmtId="164" fontId="24" fillId="68" borderId="22" xfId="205" applyFont="1" applyFill="1" applyBorder="1" applyAlignment="1">
      <alignment horizontal="center"/>
    </xf>
    <xf numFmtId="164" fontId="24" fillId="68" borderId="26" xfId="205" applyFont="1" applyFill="1" applyBorder="1" applyAlignment="1">
      <alignment horizontal="center"/>
    </xf>
    <xf numFmtId="164" fontId="24" fillId="68" borderId="21" xfId="205" applyFont="1" applyFill="1" applyBorder="1" applyAlignment="1">
      <alignment horizontal="center"/>
    </xf>
    <xf numFmtId="164" fontId="24" fillId="68" borderId="25" xfId="205" applyFont="1" applyFill="1" applyBorder="1" applyAlignment="1">
      <alignment horizontal="center"/>
    </xf>
    <xf numFmtId="164" fontId="23" fillId="0" borderId="44" xfId="205" applyFont="1" applyFill="1" applyBorder="1" applyAlignment="1">
      <alignment horizontal="center"/>
    </xf>
    <xf numFmtId="164" fontId="23" fillId="0" borderId="43" xfId="205" applyFont="1" applyFill="1" applyBorder="1" applyAlignment="1">
      <alignment horizontal="center"/>
    </xf>
    <xf numFmtId="164" fontId="23" fillId="0" borderId="30" xfId="205" applyFont="1" applyFill="1" applyBorder="1" applyAlignment="1">
      <alignment horizontal="center"/>
    </xf>
    <xf numFmtId="164" fontId="23" fillId="0" borderId="12" xfId="205" applyFont="1" applyFill="1" applyBorder="1" applyAlignment="1">
      <alignment horizontal="center"/>
    </xf>
    <xf numFmtId="164" fontId="24" fillId="0" borderId="17" xfId="205" applyFont="1" applyFill="1" applyBorder="1" applyAlignment="1">
      <alignment horizontal="center"/>
    </xf>
    <xf numFmtId="164" fontId="24" fillId="27" borderId="17" xfId="205" applyFont="1" applyFill="1" applyBorder="1" applyAlignment="1">
      <alignment horizontal="center"/>
    </xf>
    <xf numFmtId="164" fontId="24" fillId="27" borderId="16" xfId="205" applyFont="1" applyFill="1" applyBorder="1" applyAlignment="1">
      <alignment horizontal="center"/>
    </xf>
    <xf numFmtId="164" fontId="23" fillId="25" borderId="37" xfId="205" applyFont="1" applyFill="1" applyBorder="1" applyAlignment="1">
      <alignment horizontal="center"/>
    </xf>
    <xf numFmtId="164" fontId="24" fillId="27" borderId="18" xfId="205" applyFont="1" applyFill="1" applyBorder="1" applyAlignment="1">
      <alignment horizontal="center"/>
    </xf>
    <xf numFmtId="164" fontId="23" fillId="27" borderId="16" xfId="205" applyFont="1" applyFill="1" applyBorder="1" applyAlignment="1">
      <alignment horizontal="center"/>
    </xf>
    <xf numFmtId="164" fontId="115" fillId="0" borderId="37" xfId="205" applyFont="1" applyFill="1" applyBorder="1" applyAlignment="1">
      <alignment horizontal="center"/>
    </xf>
    <xf numFmtId="164" fontId="24" fillId="68" borderId="37" xfId="205" applyFont="1" applyFill="1" applyBorder="1" applyAlignment="1">
      <alignment horizontal="center"/>
    </xf>
    <xf numFmtId="164" fontId="24" fillId="27" borderId="33" xfId="205" applyFont="1" applyFill="1" applyBorder="1" applyAlignment="1">
      <alignment horizontal="center"/>
    </xf>
    <xf numFmtId="164" fontId="24" fillId="68" borderId="33" xfId="205" applyFont="1" applyFill="1" applyBorder="1" applyAlignment="1">
      <alignment horizontal="center"/>
    </xf>
    <xf numFmtId="164" fontId="23" fillId="68" borderId="16" xfId="205" applyFont="1" applyFill="1" applyBorder="1" applyAlignment="1">
      <alignment horizontal="center"/>
    </xf>
    <xf numFmtId="164" fontId="23" fillId="68" borderId="17" xfId="205" applyFont="1" applyFill="1" applyBorder="1" applyAlignment="1">
      <alignment horizontal="center"/>
    </xf>
    <xf numFmtId="164" fontId="24" fillId="0" borderId="23" xfId="205" applyFont="1" applyFill="1" applyBorder="1" applyAlignment="1">
      <alignment horizontal="center"/>
    </xf>
    <xf numFmtId="164" fontId="24" fillId="0" borderId="21" xfId="205" applyFont="1" applyFill="1" applyBorder="1" applyAlignment="1">
      <alignment horizontal="center"/>
    </xf>
    <xf numFmtId="164" fontId="23" fillId="0" borderId="18" xfId="205" applyFont="1" applyFill="1" applyBorder="1" applyAlignment="1">
      <alignment horizontal="center"/>
    </xf>
    <xf numFmtId="164" fontId="23" fillId="27" borderId="19" xfId="205" applyFont="1" applyFill="1" applyBorder="1" applyAlignment="1">
      <alignment horizontal="center"/>
    </xf>
    <xf numFmtId="164" fontId="23" fillId="27" borderId="33" xfId="205" applyFont="1" applyFill="1" applyBorder="1" applyAlignment="1">
      <alignment horizontal="center"/>
    </xf>
    <xf numFmtId="164" fontId="23" fillId="27" borderId="21" xfId="205" applyFont="1" applyFill="1" applyBorder="1" applyAlignment="1">
      <alignment horizontal="center"/>
    </xf>
    <xf numFmtId="164" fontId="24" fillId="0" borderId="22" xfId="205" applyFont="1" applyFill="1" applyBorder="1" applyAlignment="1">
      <alignment horizontal="center"/>
    </xf>
    <xf numFmtId="164" fontId="24" fillId="68" borderId="20" xfId="205" applyFont="1" applyFill="1" applyBorder="1" applyAlignment="1">
      <alignment horizontal="center"/>
    </xf>
    <xf numFmtId="164" fontId="24" fillId="0" borderId="20" xfId="205" applyFont="1" applyFill="1" applyBorder="1" applyAlignment="1">
      <alignment horizontal="center"/>
    </xf>
    <xf numFmtId="164" fontId="24" fillId="27" borderId="22" xfId="205" applyFont="1" applyFill="1" applyBorder="1" applyAlignment="1">
      <alignment horizontal="center"/>
    </xf>
    <xf numFmtId="164" fontId="24" fillId="27" borderId="21" xfId="205" applyFont="1" applyFill="1" applyBorder="1" applyAlignment="1">
      <alignment horizontal="center"/>
    </xf>
    <xf numFmtId="164" fontId="23" fillId="0" borderId="21" xfId="205" applyFont="1" applyFill="1" applyBorder="1" applyAlignment="1">
      <alignment horizontal="center"/>
    </xf>
    <xf numFmtId="164" fontId="24" fillId="27" borderId="20" xfId="205" applyFont="1" applyFill="1" applyBorder="1" applyAlignment="1">
      <alignment horizontal="center"/>
    </xf>
    <xf numFmtId="164" fontId="23" fillId="68" borderId="21" xfId="205" applyFont="1" applyFill="1" applyBorder="1" applyAlignment="1">
      <alignment horizontal="center"/>
    </xf>
    <xf numFmtId="164" fontId="23" fillId="68" borderId="22" xfId="205" applyFont="1" applyFill="1" applyBorder="1" applyAlignment="1">
      <alignment horizontal="center"/>
    </xf>
    <xf numFmtId="164" fontId="23" fillId="0" borderId="20" xfId="205" applyFont="1" applyFill="1" applyBorder="1" applyAlignment="1">
      <alignment horizontal="center"/>
    </xf>
    <xf numFmtId="164" fontId="23" fillId="27" borderId="23" xfId="205" applyFont="1" applyFill="1" applyBorder="1" applyAlignment="1">
      <alignment horizontal="center"/>
    </xf>
    <xf numFmtId="164" fontId="24" fillId="0" borderId="26" xfId="205" applyFont="1" applyFill="1" applyBorder="1" applyAlignment="1">
      <alignment horizontal="center"/>
    </xf>
    <xf numFmtId="164" fontId="24" fillId="0" borderId="25" xfId="205" applyFont="1" applyFill="1" applyBorder="1" applyAlignment="1">
      <alignment horizontal="center"/>
    </xf>
    <xf numFmtId="164" fontId="24" fillId="0" borderId="27" xfId="205" applyFont="1" applyFill="1" applyBorder="1" applyAlignment="1">
      <alignment horizontal="center"/>
    </xf>
    <xf numFmtId="164" fontId="24" fillId="27" borderId="26" xfId="205" applyFont="1" applyFill="1" applyBorder="1" applyAlignment="1">
      <alignment horizontal="center"/>
    </xf>
    <xf numFmtId="164" fontId="24" fillId="27" borderId="25" xfId="205" applyFont="1" applyFill="1" applyBorder="1" applyAlignment="1">
      <alignment horizontal="center"/>
    </xf>
    <xf numFmtId="164" fontId="24" fillId="27" borderId="27" xfId="205" applyFont="1" applyFill="1" applyBorder="1" applyAlignment="1">
      <alignment horizontal="center"/>
    </xf>
    <xf numFmtId="164" fontId="23" fillId="27" borderId="25" xfId="205" applyFont="1" applyFill="1" applyBorder="1" applyAlignment="1">
      <alignment horizontal="center"/>
    </xf>
    <xf numFmtId="164" fontId="23" fillId="68" borderId="25" xfId="205" applyFont="1" applyFill="1" applyBorder="1" applyAlignment="1">
      <alignment horizontal="center"/>
    </xf>
    <xf numFmtId="164" fontId="23" fillId="68" borderId="26" xfId="205" applyFont="1" applyFill="1" applyBorder="1" applyAlignment="1">
      <alignment horizontal="center"/>
    </xf>
    <xf numFmtId="164" fontId="23" fillId="0" borderId="27" xfId="205" applyFont="1" applyFill="1" applyBorder="1" applyAlignment="1">
      <alignment horizontal="center"/>
    </xf>
    <xf numFmtId="164" fontId="23" fillId="27" borderId="28" xfId="205" applyFont="1" applyFill="1" applyBorder="1" applyAlignment="1">
      <alignment horizontal="center"/>
    </xf>
    <xf numFmtId="164" fontId="23" fillId="0" borderId="32" xfId="205" applyFont="1" applyFill="1" applyBorder="1" applyAlignment="1">
      <alignment horizontal="center"/>
    </xf>
    <xf numFmtId="164" fontId="24" fillId="68" borderId="32" xfId="205" applyFont="1" applyFill="1" applyBorder="1" applyAlignment="1">
      <alignment horizontal="center"/>
    </xf>
    <xf numFmtId="164" fontId="23" fillId="0" borderId="15" xfId="205" applyFont="1" applyFill="1" applyBorder="1" applyAlignment="1">
      <alignment horizontal="center"/>
    </xf>
    <xf numFmtId="164" fontId="23" fillId="0" borderId="24" xfId="205" applyFont="1" applyFill="1" applyBorder="1" applyAlignment="1">
      <alignment horizontal="center"/>
    </xf>
    <xf numFmtId="164" fontId="23" fillId="25" borderId="24" xfId="205" applyFont="1" applyFill="1" applyBorder="1" applyAlignment="1">
      <alignment horizontal="center"/>
    </xf>
    <xf numFmtId="164" fontId="23" fillId="25" borderId="30" xfId="205" applyFont="1" applyFill="1" applyBorder="1" applyAlignment="1">
      <alignment horizontal="center"/>
    </xf>
    <xf numFmtId="164" fontId="23" fillId="27" borderId="29" xfId="205" applyFont="1" applyFill="1" applyBorder="1" applyAlignment="1">
      <alignment horizontal="center"/>
    </xf>
    <xf numFmtId="164" fontId="23" fillId="27" borderId="14" xfId="205" applyFont="1" applyFill="1" applyBorder="1" applyAlignment="1">
      <alignment horizontal="center"/>
    </xf>
    <xf numFmtId="164" fontId="23" fillId="27" borderId="24" xfId="205" applyFont="1" applyFill="1" applyBorder="1" applyAlignment="1">
      <alignment horizontal="center"/>
    </xf>
    <xf numFmtId="164" fontId="23" fillId="68" borderId="29" xfId="205" applyFont="1" applyFill="1" applyBorder="1" applyAlignment="1">
      <alignment horizontal="center"/>
    </xf>
    <xf numFmtId="164" fontId="23" fillId="68" borderId="44" xfId="205" applyFont="1" applyFill="1" applyBorder="1" applyAlignment="1">
      <alignment horizontal="center"/>
    </xf>
    <xf numFmtId="164" fontId="23" fillId="68" borderId="24" xfId="205" applyFont="1" applyFill="1" applyBorder="1" applyAlignment="1">
      <alignment horizontal="center"/>
    </xf>
    <xf numFmtId="164" fontId="24" fillId="0" borderId="16" xfId="205" applyFont="1" applyFill="1" applyBorder="1" applyAlignment="1">
      <alignment horizontal="center" wrapText="1"/>
    </xf>
    <xf numFmtId="164" fontId="24" fillId="27" borderId="18" xfId="205" applyFont="1" applyFill="1" applyBorder="1" applyAlignment="1">
      <alignment horizontal="center" wrapText="1"/>
    </xf>
    <xf numFmtId="164" fontId="24" fillId="27" borderId="16" xfId="205" applyFont="1" applyFill="1" applyBorder="1" applyAlignment="1">
      <alignment horizontal="center" wrapText="1"/>
    </xf>
    <xf numFmtId="164" fontId="24" fillId="0" borderId="32" xfId="205" applyFont="1" applyFill="1" applyBorder="1" applyAlignment="1">
      <alignment horizontal="center"/>
    </xf>
    <xf numFmtId="164" fontId="24" fillId="69" borderId="16" xfId="205" applyFont="1" applyFill="1" applyBorder="1" applyAlignment="1">
      <alignment horizontal="center"/>
    </xf>
    <xf numFmtId="164" fontId="115" fillId="25" borderId="33" xfId="205" applyFont="1" applyFill="1" applyBorder="1" applyAlignment="1">
      <alignment horizontal="center"/>
    </xf>
    <xf numFmtId="164" fontId="24" fillId="27" borderId="17" xfId="205" applyFont="1" applyFill="1" applyBorder="1" applyAlignment="1">
      <alignment horizontal="center" wrapText="1"/>
    </xf>
    <xf numFmtId="164" fontId="24" fillId="0" borderId="21" xfId="205" applyFont="1" applyFill="1" applyBorder="1" applyAlignment="1">
      <alignment horizontal="center" wrapText="1"/>
    </xf>
    <xf numFmtId="164" fontId="24" fillId="27" borderId="21" xfId="205" applyFont="1" applyFill="1" applyBorder="1" applyAlignment="1">
      <alignment horizontal="center" wrapText="1"/>
    </xf>
    <xf numFmtId="164" fontId="24" fillId="27" borderId="20" xfId="205" applyFont="1" applyFill="1" applyBorder="1" applyAlignment="1">
      <alignment horizontal="center" wrapText="1"/>
    </xf>
    <xf numFmtId="164" fontId="23" fillId="25" borderId="21" xfId="205" applyFont="1" applyFill="1" applyBorder="1" applyAlignment="1">
      <alignment horizontal="center" wrapText="1" shrinkToFit="1"/>
    </xf>
    <xf numFmtId="164" fontId="23" fillId="25" borderId="22" xfId="205" applyFont="1" applyFill="1" applyBorder="1" applyAlignment="1">
      <alignment horizontal="center" wrapText="1" shrinkToFit="1"/>
    </xf>
    <xf numFmtId="164" fontId="23" fillId="25" borderId="41" xfId="205" applyFont="1" applyFill="1" applyBorder="1" applyAlignment="1">
      <alignment horizontal="center" wrapText="1" shrinkToFit="1"/>
    </xf>
    <xf numFmtId="164" fontId="23" fillId="25" borderId="20" xfId="205" applyFont="1" applyFill="1" applyBorder="1" applyAlignment="1">
      <alignment horizontal="center" wrapText="1" shrinkToFit="1"/>
    </xf>
    <xf numFmtId="164" fontId="24" fillId="69" borderId="21" xfId="205" applyFont="1" applyFill="1" applyBorder="1" applyAlignment="1">
      <alignment horizontal="center"/>
    </xf>
    <xf numFmtId="164" fontId="24" fillId="27" borderId="22" xfId="205" applyFont="1" applyFill="1" applyBorder="1" applyAlignment="1">
      <alignment horizontal="center" wrapText="1"/>
    </xf>
    <xf numFmtId="164" fontId="23" fillId="0" borderId="23" xfId="205" applyFont="1" applyFill="1" applyBorder="1" applyAlignment="1">
      <alignment horizontal="center" shrinkToFit="1"/>
    </xf>
    <xf numFmtId="164" fontId="23" fillId="0" borderId="13" xfId="205" applyFont="1" applyFill="1" applyBorder="1" applyAlignment="1">
      <alignment horizontal="center"/>
    </xf>
    <xf numFmtId="164" fontId="23" fillId="27" borderId="14" xfId="205" applyFont="1" applyFill="1" applyBorder="1" applyAlignment="1">
      <alignment horizontal="center" wrapText="1"/>
    </xf>
    <xf numFmtId="164" fontId="23" fillId="27" borderId="30" xfId="205" applyFont="1" applyFill="1" applyBorder="1" applyAlignment="1">
      <alignment horizontal="center"/>
    </xf>
    <xf numFmtId="164" fontId="23" fillId="27" borderId="31" xfId="205" applyFont="1" applyFill="1" applyBorder="1" applyAlignment="1">
      <alignment horizontal="center"/>
    </xf>
    <xf numFmtId="164" fontId="23" fillId="25" borderId="13" xfId="205" applyFont="1" applyFill="1" applyBorder="1" applyAlignment="1">
      <alignment horizontal="center"/>
    </xf>
    <xf numFmtId="164" fontId="23" fillId="69" borderId="29" xfId="205" applyFont="1" applyFill="1" applyBorder="1" applyAlignment="1">
      <alignment horizontal="center"/>
    </xf>
    <xf numFmtId="164" fontId="23" fillId="69" borderId="14" xfId="205" applyFont="1" applyFill="1" applyBorder="1" applyAlignment="1">
      <alignment horizontal="center"/>
    </xf>
    <xf numFmtId="164" fontId="23" fillId="0" borderId="0" xfId="205" applyFont="1" applyFill="1" applyBorder="1" applyAlignment="1">
      <alignment horizontal="center"/>
    </xf>
    <xf numFmtId="164" fontId="23" fillId="25" borderId="36" xfId="205" applyFont="1" applyFill="1" applyBorder="1" applyAlignment="1">
      <alignment horizontal="center"/>
    </xf>
    <xf numFmtId="164" fontId="23" fillId="0" borderId="37" xfId="205" applyFont="1" applyFill="1" applyBorder="1" applyAlignment="1">
      <alignment horizontal="center"/>
    </xf>
    <xf numFmtId="164" fontId="23" fillId="69" borderId="33" xfId="205" applyFont="1" applyFill="1" applyBorder="1" applyAlignment="1">
      <alignment horizontal="center"/>
    </xf>
    <xf numFmtId="164" fontId="23" fillId="25" borderId="0" xfId="205" applyFont="1" applyFill="1" applyBorder="1" applyAlignment="1">
      <alignment horizontal="center"/>
    </xf>
    <xf numFmtId="164" fontId="24" fillId="27" borderId="23" xfId="205" applyFont="1" applyFill="1" applyBorder="1" applyAlignment="1">
      <alignment horizontal="center" wrapText="1"/>
    </xf>
    <xf numFmtId="164" fontId="23" fillId="27" borderId="21" xfId="205" applyFont="1" applyFill="1" applyBorder="1" applyAlignment="1">
      <alignment horizontal="center" wrapText="1"/>
    </xf>
    <xf numFmtId="164" fontId="23" fillId="27" borderId="11" xfId="205" applyFont="1" applyFill="1" applyBorder="1" applyAlignment="1">
      <alignment horizontal="center"/>
    </xf>
    <xf numFmtId="164" fontId="23" fillId="69" borderId="11" xfId="205" applyFont="1" applyFill="1" applyBorder="1" applyAlignment="1">
      <alignment horizontal="center"/>
    </xf>
    <xf numFmtId="164" fontId="23" fillId="27" borderId="12" xfId="205" applyFont="1" applyFill="1" applyBorder="1" applyAlignment="1">
      <alignment horizontal="center"/>
    </xf>
    <xf numFmtId="164" fontId="23" fillId="25" borderId="15" xfId="205" applyFont="1" applyFill="1" applyBorder="1" applyAlignment="1">
      <alignment horizontal="center"/>
    </xf>
    <xf numFmtId="164" fontId="23" fillId="25" borderId="34" xfId="205" applyFont="1" applyFill="1" applyBorder="1" applyAlignment="1">
      <alignment horizontal="center"/>
    </xf>
    <xf numFmtId="164" fontId="23" fillId="25" borderId="12" xfId="205" applyFont="1" applyFill="1" applyBorder="1" applyAlignment="1">
      <alignment horizontal="center"/>
    </xf>
    <xf numFmtId="164" fontId="23" fillId="0" borderId="34" xfId="205" applyFont="1" applyFill="1" applyBorder="1" applyAlignment="1">
      <alignment horizontal="center"/>
    </xf>
    <xf numFmtId="164" fontId="23" fillId="27" borderId="34" xfId="205" applyFont="1" applyFill="1" applyBorder="1" applyAlignment="1">
      <alignment horizontal="center"/>
    </xf>
    <xf numFmtId="164" fontId="23" fillId="0" borderId="47" xfId="205" applyFont="1" applyFill="1" applyBorder="1" applyAlignment="1">
      <alignment horizontal="center"/>
    </xf>
    <xf numFmtId="164" fontId="24" fillId="0" borderId="15" xfId="205" applyFont="1" applyFill="1" applyBorder="1" applyAlignment="1">
      <alignment horizontal="center"/>
    </xf>
    <xf numFmtId="164" fontId="24" fillId="0" borderId="11" xfId="205" applyFont="1" applyFill="1" applyBorder="1" applyAlignment="1">
      <alignment horizontal="center"/>
    </xf>
    <xf numFmtId="164" fontId="23" fillId="27" borderId="0" xfId="205" applyFont="1" applyFill="1" applyBorder="1" applyAlignment="1">
      <alignment horizontal="center"/>
    </xf>
    <xf numFmtId="164" fontId="24" fillId="0" borderId="24" xfId="205" applyFont="1" applyFill="1" applyBorder="1" applyAlignment="1">
      <alignment horizontal="center"/>
    </xf>
    <xf numFmtId="164" fontId="24" fillId="0" borderId="29" xfId="205"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3" applyNumberFormat="1" applyFont="1" applyFill="1" applyBorder="1" applyAlignment="1">
      <alignment horizontal="right" shrinkToFit="1"/>
    </xf>
    <xf numFmtId="164" fontId="23" fillId="27" borderId="22" xfId="205" applyFont="1" applyFill="1" applyBorder="1" applyAlignment="1">
      <alignment horizontal="center" wrapText="1" shrinkToFit="1"/>
    </xf>
    <xf numFmtId="164" fontId="23" fillId="0" borderId="22" xfId="205" applyFont="1" applyFill="1" applyBorder="1" applyAlignment="1">
      <alignment horizontal="center" wrapText="1" shrinkToFit="1"/>
    </xf>
    <xf numFmtId="164" fontId="24" fillId="69" borderId="23" xfId="205" applyFont="1" applyFill="1" applyBorder="1" applyAlignment="1">
      <alignment horizontal="center"/>
    </xf>
    <xf numFmtId="164" fontId="115" fillId="68" borderId="16" xfId="205" applyFont="1" applyFill="1" applyBorder="1" applyAlignment="1">
      <alignment horizontal="center"/>
    </xf>
    <xf numFmtId="164" fontId="115" fillId="68" borderId="21" xfId="205" applyFont="1" applyFill="1" applyBorder="1" applyAlignment="1">
      <alignment horizontal="center"/>
    </xf>
    <xf numFmtId="164" fontId="115" fillId="68" borderId="25" xfId="205" applyFont="1" applyFill="1" applyBorder="1" applyAlignment="1">
      <alignment horizontal="center"/>
    </xf>
    <xf numFmtId="164" fontId="23" fillId="68" borderId="18" xfId="205" applyFont="1" applyFill="1" applyBorder="1" applyAlignment="1">
      <alignment horizontal="center"/>
    </xf>
    <xf numFmtId="164" fontId="23" fillId="68" borderId="33" xfId="205" applyFont="1" applyFill="1" applyBorder="1" applyAlignment="1">
      <alignment horizontal="center"/>
    </xf>
    <xf numFmtId="164" fontId="29" fillId="0" borderId="40" xfId="205"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5"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25" borderId="15"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23" fillId="25" borderId="11" xfId="0" quotePrefix="1" applyFont="1" applyFill="1" applyBorder="1" applyAlignment="1">
      <alignment horizontal="center" vertical="center" wrapText="1"/>
    </xf>
    <xf numFmtId="0" fontId="23" fillId="25" borderId="43" xfId="0" quotePrefix="1" applyFont="1" applyFill="1" applyBorder="1" applyAlignment="1">
      <alignment horizontal="center" vertical="center" wrapText="1"/>
    </xf>
    <xf numFmtId="0" fontId="0" fillId="0" borderId="0" xfId="0" applyAlignment="1">
      <alignment wrapText="1"/>
    </xf>
    <xf numFmtId="164" fontId="24" fillId="69" borderId="20" xfId="205" applyFont="1" applyFill="1" applyBorder="1" applyAlignment="1">
      <alignment horizontal="center"/>
    </xf>
    <xf numFmtId="0" fontId="23" fillId="0" borderId="22" xfId="0" applyFont="1" applyFill="1" applyBorder="1" applyAlignment="1">
      <alignment vertical="center" wrapText="1"/>
    </xf>
    <xf numFmtId="0" fontId="4" fillId="68" borderId="38" xfId="0" applyFont="1" applyFill="1" applyBorder="1" applyAlignment="1">
      <alignment horizontal="center" vertical="center" wrapText="1"/>
    </xf>
    <xf numFmtId="164" fontId="24" fillId="68" borderId="23" xfId="205" applyFont="1" applyFill="1" applyBorder="1" applyAlignment="1">
      <alignment horizontal="center"/>
    </xf>
    <xf numFmtId="164" fontId="23" fillId="68" borderId="11" xfId="205" applyFont="1" applyFill="1" applyBorder="1" applyAlignment="1">
      <alignment horizontal="center"/>
    </xf>
    <xf numFmtId="164" fontId="23" fillId="69" borderId="24" xfId="205" applyFont="1" applyFill="1" applyBorder="1" applyAlignment="1">
      <alignment horizontal="center"/>
    </xf>
    <xf numFmtId="0" fontId="4" fillId="68" borderId="14" xfId="0" applyFont="1" applyFill="1" applyBorder="1" applyAlignment="1">
      <alignment horizontal="center" vertical="center" wrapText="1"/>
    </xf>
    <xf numFmtId="164"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164" fontId="115" fillId="68" borderId="22" xfId="205" applyFont="1" applyFill="1" applyBorder="1" applyAlignment="1">
      <alignment horizontal="center"/>
    </xf>
    <xf numFmtId="164" fontId="23" fillId="68" borderId="30" xfId="205" applyFont="1" applyFill="1" applyBorder="1" applyAlignment="1">
      <alignment horizontal="center"/>
    </xf>
    <xf numFmtId="0" fontId="7" fillId="0" borderId="22" xfId="0" applyFont="1" applyFill="1" applyBorder="1" applyAlignment="1"/>
    <xf numFmtId="0" fontId="32" fillId="0" borderId="41" xfId="0" applyNumberFormat="1" applyFont="1" applyFill="1" applyBorder="1" applyAlignment="1">
      <alignment vertical="center" wrapText="1"/>
    </xf>
    <xf numFmtId="164" fontId="29" fillId="0" borderId="40" xfId="205" applyFont="1" applyFill="1" applyBorder="1" applyAlignment="1">
      <alignment vertical="center" wrapText="1"/>
    </xf>
    <xf numFmtId="164" fontId="23" fillId="68" borderId="14" xfId="205" applyFont="1" applyFill="1" applyBorder="1" applyAlignment="1">
      <alignment horizontal="center"/>
    </xf>
    <xf numFmtId="164" fontId="115" fillId="0" borderId="21" xfId="205" applyFont="1" applyFill="1" applyBorder="1" applyAlignment="1">
      <alignment horizontal="center" wrapText="1"/>
    </xf>
    <xf numFmtId="164" fontId="23" fillId="68" borderId="15" xfId="205" applyFont="1" applyFill="1" applyBorder="1" applyAlignment="1">
      <alignment horizontal="center"/>
    </xf>
    <xf numFmtId="164" fontId="21" fillId="0" borderId="19" xfId="205" applyNumberFormat="1" applyFont="1" applyFill="1" applyBorder="1" applyAlignment="1">
      <alignment horizontal="center"/>
    </xf>
    <xf numFmtId="0" fontId="7" fillId="69" borderId="38" xfId="0" applyFont="1" applyFill="1" applyBorder="1" applyAlignment="1">
      <alignment horizontal="center" vertical="center"/>
    </xf>
    <xf numFmtId="164" fontId="115" fillId="27" borderId="21" xfId="205" applyFont="1" applyFill="1" applyBorder="1" applyAlignment="1">
      <alignment horizontal="center" wrapText="1"/>
    </xf>
    <xf numFmtId="164" fontId="24" fillId="69" borderId="32" xfId="205" applyFont="1" applyFill="1" applyBorder="1" applyAlignment="1">
      <alignment horizontal="center"/>
    </xf>
    <xf numFmtId="164" fontId="23" fillId="69" borderId="36" xfId="205" applyFont="1" applyFill="1" applyBorder="1" applyAlignment="1">
      <alignment horizontal="center"/>
    </xf>
    <xf numFmtId="164" fontId="23" fillId="69" borderId="34" xfId="205" applyFont="1" applyFill="1" applyBorder="1" applyAlignment="1">
      <alignment horizontal="center"/>
    </xf>
    <xf numFmtId="164" fontId="23" fillId="69" borderId="0" xfId="205" applyFont="1" applyFill="1" applyBorder="1" applyAlignment="1">
      <alignment horizontal="center"/>
    </xf>
    <xf numFmtId="164" fontId="24" fillId="69" borderId="37" xfId="205" applyFont="1" applyFill="1" applyBorder="1" applyAlignment="1">
      <alignment horizontal="center"/>
    </xf>
    <xf numFmtId="164" fontId="23" fillId="69" borderId="13" xfId="205" applyFont="1" applyFill="1" applyBorder="1" applyAlignment="1">
      <alignment horizontal="center"/>
    </xf>
    <xf numFmtId="164" fontId="24" fillId="69" borderId="33" xfId="205" applyFont="1" applyFill="1" applyBorder="1" applyAlignment="1">
      <alignment horizontal="center"/>
    </xf>
    <xf numFmtId="164" fontId="23" fillId="69" borderId="31" xfId="205" applyFont="1" applyFill="1" applyBorder="1" applyAlignment="1">
      <alignment horizontal="center"/>
    </xf>
    <xf numFmtId="0" fontId="23" fillId="71" borderId="11" xfId="0" applyFont="1" applyFill="1" applyBorder="1" applyAlignment="1">
      <alignment horizontal="center" vertical="center" wrapText="1"/>
    </xf>
    <xf numFmtId="164" fontId="21" fillId="0" borderId="37" xfId="205" applyNumberFormat="1" applyFont="1" applyFill="1" applyBorder="1" applyAlignment="1">
      <alignment horizontal="center"/>
    </xf>
    <xf numFmtId="164" fontId="23" fillId="25" borderId="47" xfId="205" applyFont="1" applyFill="1" applyBorder="1" applyAlignment="1">
      <alignment horizontal="center"/>
    </xf>
    <xf numFmtId="164" fontId="17" fillId="0" borderId="13" xfId="205"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71" borderId="14"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72" borderId="14" xfId="0" applyFont="1" applyFill="1" applyBorder="1" applyAlignment="1">
      <alignment horizontal="center" vertical="center" wrapText="1"/>
    </xf>
    <xf numFmtId="164" fontId="115" fillId="72" borderId="33" xfId="205" applyFont="1" applyFill="1" applyBorder="1" applyAlignment="1">
      <alignment horizontal="center"/>
    </xf>
    <xf numFmtId="164" fontId="23" fillId="72" borderId="14" xfId="205" applyFont="1" applyFill="1" applyBorder="1" applyAlignment="1">
      <alignment horizontal="center"/>
    </xf>
    <xf numFmtId="164" fontId="23" fillId="72" borderId="33" xfId="205" applyFont="1" applyFill="1" applyBorder="1" applyAlignment="1">
      <alignment horizontal="center"/>
    </xf>
    <xf numFmtId="164" fontId="23" fillId="72" borderId="11" xfId="205" applyFont="1" applyFill="1" applyBorder="1" applyAlignment="1">
      <alignment horizontal="center"/>
    </xf>
    <xf numFmtId="164" fontId="23" fillId="72" borderId="29" xfId="205" applyFont="1" applyFill="1" applyBorder="1" applyAlignment="1">
      <alignment horizontal="center"/>
    </xf>
    <xf numFmtId="0" fontId="7" fillId="72" borderId="38" xfId="0" applyFont="1" applyFill="1" applyBorder="1" applyAlignment="1">
      <alignment horizontal="center" vertical="center" wrapText="1"/>
    </xf>
    <xf numFmtId="164" fontId="115" fillId="72" borderId="16" xfId="205" applyFont="1" applyFill="1" applyBorder="1" applyAlignment="1">
      <alignment horizontal="center"/>
    </xf>
    <xf numFmtId="164" fontId="115" fillId="72" borderId="21" xfId="205" applyFont="1" applyFill="1" applyBorder="1" applyAlignment="1">
      <alignment horizontal="center"/>
    </xf>
    <xf numFmtId="164" fontId="115" fillId="72" borderId="25" xfId="205" applyFont="1" applyFill="1" applyBorder="1" applyAlignment="1">
      <alignment horizontal="center"/>
    </xf>
    <xf numFmtId="164" fontId="23" fillId="72" borderId="31" xfId="205" applyFont="1" applyFill="1" applyBorder="1" applyAlignment="1">
      <alignment horizontal="center"/>
    </xf>
    <xf numFmtId="164" fontId="23" fillId="72" borderId="16" xfId="205" applyFont="1" applyFill="1" applyBorder="1" applyAlignment="1">
      <alignment horizontal="center"/>
    </xf>
    <xf numFmtId="164" fontId="23" fillId="72" borderId="21" xfId="205" applyFont="1" applyFill="1" applyBorder="1" applyAlignment="1">
      <alignment horizontal="center"/>
    </xf>
    <xf numFmtId="0" fontId="23" fillId="72" borderId="11" xfId="0" applyFont="1" applyFill="1" applyBorder="1" applyAlignment="1">
      <alignment horizontal="center" vertical="center" wrapText="1"/>
    </xf>
    <xf numFmtId="164" fontId="23" fillId="72" borderId="25" xfId="205" applyFont="1" applyFill="1" applyBorder="1" applyAlignment="1">
      <alignment horizontal="center"/>
    </xf>
    <xf numFmtId="164" fontId="24" fillId="72" borderId="16" xfId="205" applyFont="1" applyFill="1" applyBorder="1" applyAlignment="1">
      <alignment horizontal="center"/>
    </xf>
    <xf numFmtId="164" fontId="24" fillId="72" borderId="21" xfId="205" applyFont="1" applyFill="1" applyBorder="1" applyAlignment="1">
      <alignment horizontal="center"/>
    </xf>
    <xf numFmtId="164" fontId="24" fillId="72" borderId="25" xfId="205" applyFont="1" applyFill="1" applyBorder="1" applyAlignment="1">
      <alignment horizontal="center"/>
    </xf>
    <xf numFmtId="164" fontId="118" fillId="72" borderId="38" xfId="205" applyFont="1" applyFill="1" applyBorder="1" applyAlignment="1">
      <alignment vertical="center"/>
    </xf>
    <xf numFmtId="49" fontId="32" fillId="72" borderId="38" xfId="0" applyNumberFormat="1" applyFont="1" applyFill="1" applyBorder="1" applyAlignment="1">
      <alignment horizontal="center" vertical="center" wrapText="1"/>
    </xf>
    <xf numFmtId="0" fontId="70" fillId="72" borderId="38" xfId="0" applyFont="1" applyFill="1" applyBorder="1" applyAlignment="1">
      <alignment horizontal="center" vertical="center" wrapText="1"/>
    </xf>
    <xf numFmtId="164" fontId="64" fillId="72" borderId="38" xfId="205" quotePrefix="1" applyFont="1" applyFill="1" applyBorder="1" applyAlignment="1">
      <alignment horizontal="center" vertical="center"/>
    </xf>
    <xf numFmtId="164" fontId="62" fillId="72" borderId="38" xfId="205" applyFont="1" applyFill="1" applyBorder="1" applyAlignment="1">
      <alignment vertical="center"/>
    </xf>
    <xf numFmtId="0" fontId="60" fillId="72" borderId="38" xfId="0" applyFont="1" applyFill="1" applyBorder="1" applyAlignment="1">
      <alignment horizontal="center" vertical="center" wrapText="1"/>
    </xf>
    <xf numFmtId="49" fontId="29" fillId="72" borderId="38" xfId="0" quotePrefix="1" applyNumberFormat="1" applyFont="1" applyFill="1" applyBorder="1" applyAlignment="1">
      <alignment horizontal="center" vertical="center" wrapText="1"/>
    </xf>
    <xf numFmtId="164" fontId="64" fillId="72" borderId="38" xfId="205" applyFont="1" applyFill="1" applyBorder="1" applyAlignment="1">
      <alignment vertical="center"/>
    </xf>
    <xf numFmtId="164" fontId="29" fillId="72" borderId="38" xfId="205" applyFont="1" applyFill="1" applyBorder="1" applyAlignment="1">
      <alignment horizontal="center" vertical="center"/>
    </xf>
    <xf numFmtId="164" fontId="31" fillId="72" borderId="38" xfId="205"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5" applyFont="1" applyFill="1" applyBorder="1" applyAlignment="1">
      <alignment horizontal="center" vertical="center" wrapText="1"/>
    </xf>
    <xf numFmtId="164" fontId="23" fillId="72" borderId="24" xfId="205" applyFont="1" applyFill="1" applyBorder="1" applyAlignment="1">
      <alignment horizontal="center"/>
    </xf>
    <xf numFmtId="164" fontId="23" fillId="72" borderId="19" xfId="205" applyFont="1" applyFill="1" applyBorder="1" applyAlignment="1">
      <alignment horizontal="center"/>
    </xf>
    <xf numFmtId="164" fontId="23" fillId="72" borderId="23" xfId="205" applyFont="1" applyFill="1" applyBorder="1" applyAlignment="1">
      <alignment horizontal="center"/>
    </xf>
    <xf numFmtId="164" fontId="23" fillId="72" borderId="44" xfId="205" applyFont="1" applyFill="1" applyBorder="1" applyAlignment="1">
      <alignment horizontal="center"/>
    </xf>
    <xf numFmtId="164" fontId="23" fillId="72" borderId="49" xfId="205" applyFont="1" applyFill="1" applyBorder="1" applyAlignment="1">
      <alignment horizontal="center"/>
    </xf>
    <xf numFmtId="164" fontId="23" fillId="72" borderId="43" xfId="205" applyFont="1" applyFill="1" applyBorder="1" applyAlignment="1">
      <alignment horizontal="center"/>
    </xf>
    <xf numFmtId="49" fontId="29" fillId="72" borderId="38" xfId="0" applyNumberFormat="1" applyFont="1" applyFill="1" applyBorder="1" applyAlignment="1">
      <alignment horizontal="center" vertical="center" wrapText="1"/>
    </xf>
    <xf numFmtId="164" fontId="115" fillId="72" borderId="19" xfId="205" applyFont="1" applyFill="1" applyBorder="1" applyAlignment="1">
      <alignment horizontal="center"/>
    </xf>
    <xf numFmtId="164" fontId="115" fillId="72" borderId="23" xfId="205"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5"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5" applyFont="1" applyBorder="1" applyAlignment="1">
      <alignment horizontal="center" vertical="center"/>
    </xf>
    <xf numFmtId="4" fontId="120" fillId="0" borderId="61" xfId="116" applyNumberFormat="1" applyFont="1" applyBorder="1" applyAlignment="1" applyProtection="1">
      <alignment horizontal="right" shrinkToFit="1"/>
    </xf>
    <xf numFmtId="165" fontId="8" fillId="0" borderId="11" xfId="205" applyNumberFormat="1" applyFont="1" applyFill="1" applyBorder="1" applyAlignment="1"/>
    <xf numFmtId="0" fontId="23" fillId="25" borderId="14" xfId="0" applyFont="1" applyFill="1" applyBorder="1" applyAlignment="1">
      <alignment horizontal="center" vertical="center"/>
    </xf>
    <xf numFmtId="164" fontId="23" fillId="68" borderId="37" xfId="205" applyFont="1" applyFill="1" applyBorder="1" applyAlignment="1">
      <alignment horizontal="center"/>
    </xf>
    <xf numFmtId="164" fontId="115" fillId="0" borderId="22" xfId="205" applyFont="1" applyFill="1" applyBorder="1" applyAlignment="1">
      <alignment horizontal="center" wrapText="1"/>
    </xf>
    <xf numFmtId="4" fontId="121" fillId="0" borderId="61" xfId="116" applyNumberFormat="1" applyFont="1" applyBorder="1" applyAlignment="1" applyProtection="1">
      <alignment horizontal="right" vertical="top" shrinkToFit="1"/>
    </xf>
    <xf numFmtId="164" fontId="0" fillId="0" borderId="0" xfId="0" applyNumberFormat="1" applyFill="1"/>
    <xf numFmtId="164" fontId="23" fillId="68" borderId="23" xfId="205" applyFont="1" applyFill="1" applyBorder="1" applyAlignment="1">
      <alignment horizontal="center"/>
    </xf>
    <xf numFmtId="4" fontId="119" fillId="0" borderId="0" xfId="116" applyNumberFormat="1" applyFont="1" applyBorder="1" applyAlignment="1" applyProtection="1">
      <alignment horizontal="right" vertical="top" shrinkToFit="1"/>
    </xf>
    <xf numFmtId="4" fontId="122" fillId="0" borderId="61" xfId="125" applyNumberFormat="1" applyFont="1" applyBorder="1" applyAlignment="1" applyProtection="1">
      <alignment horizontal="right" vertical="top" shrinkToFit="1"/>
    </xf>
    <xf numFmtId="3" fontId="23" fillId="68" borderId="11" xfId="0" applyNumberFormat="1" applyFont="1" applyFill="1" applyBorder="1" applyAlignment="1">
      <alignment horizontal="center" vertical="center" wrapText="1"/>
    </xf>
    <xf numFmtId="4" fontId="115" fillId="26" borderId="1" xfId="0" applyNumberFormat="1" applyFont="1" applyFill="1" applyBorder="1" applyAlignment="1">
      <alignment horizontal="right" wrapText="1" shrinkToFit="1"/>
    </xf>
    <xf numFmtId="4" fontId="115" fillId="26" borderId="1" xfId="0" applyNumberFormat="1" applyFont="1" applyFill="1" applyBorder="1" applyAlignment="1">
      <alignment horizontal="right" vertical="top" wrapText="1" shrinkToFit="1"/>
    </xf>
    <xf numFmtId="164" fontId="31" fillId="0" borderId="0" xfId="205" applyFont="1" applyFill="1" applyBorder="1" applyAlignment="1">
      <alignment horizontal="center" vertical="center"/>
    </xf>
    <xf numFmtId="164" fontId="116" fillId="0" borderId="38" xfId="205" applyFont="1" applyFill="1" applyBorder="1" applyAlignment="1">
      <alignment vertical="center"/>
    </xf>
    <xf numFmtId="164" fontId="24" fillId="27" borderId="32" xfId="205" applyFont="1" applyFill="1" applyBorder="1" applyAlignment="1">
      <alignment horizontal="center"/>
    </xf>
    <xf numFmtId="164" fontId="24" fillId="0" borderId="37" xfId="205" applyFont="1" applyFill="1" applyBorder="1" applyAlignment="1">
      <alignment horizontal="center" wrapText="1" shrinkToFit="1"/>
    </xf>
    <xf numFmtId="164" fontId="24" fillId="0" borderId="33" xfId="205" applyFont="1" applyFill="1" applyBorder="1" applyAlignment="1">
      <alignment horizontal="center" wrapText="1" shrinkToFit="1"/>
    </xf>
    <xf numFmtId="164" fontId="23" fillId="0" borderId="21" xfId="205" applyFont="1" applyFill="1" applyBorder="1" applyAlignment="1">
      <alignment horizontal="center" shrinkToFit="1"/>
    </xf>
    <xf numFmtId="164" fontId="23" fillId="0" borderId="33" xfId="205" applyFont="1" applyFill="1" applyBorder="1" applyAlignment="1">
      <alignment horizontal="center" shrinkToFit="1"/>
    </xf>
    <xf numFmtId="164" fontId="23" fillId="27" borderId="23" xfId="205" applyFont="1" applyFill="1" applyBorder="1" applyAlignment="1">
      <alignment horizontal="center" wrapText="1" shrinkToFit="1"/>
    </xf>
    <xf numFmtId="164" fontId="23" fillId="0" borderId="13" xfId="205" applyFont="1" applyFill="1" applyBorder="1" applyAlignment="1">
      <alignment horizontal="center" wrapText="1"/>
    </xf>
    <xf numFmtId="164" fontId="23" fillId="0" borderId="11" xfId="205" applyFont="1" applyFill="1" applyBorder="1" applyAlignment="1">
      <alignment horizontal="center" wrapText="1"/>
    </xf>
    <xf numFmtId="164" fontId="23" fillId="0" borderId="31" xfId="205" applyFont="1" applyFill="1" applyBorder="1" applyAlignment="1">
      <alignment horizontal="center" wrapText="1"/>
    </xf>
    <xf numFmtId="164" fontId="23" fillId="27" borderId="31" xfId="205" applyFont="1" applyFill="1" applyBorder="1" applyAlignment="1">
      <alignment horizontal="center" wrapText="1"/>
    </xf>
    <xf numFmtId="164" fontId="23" fillId="27" borderId="11" xfId="205" applyFont="1" applyFill="1" applyBorder="1" applyAlignment="1">
      <alignment horizontal="center" wrapText="1"/>
    </xf>
    <xf numFmtId="164" fontId="23" fillId="27" borderId="12" xfId="205" applyFont="1" applyFill="1" applyBorder="1" applyAlignment="1">
      <alignment horizontal="center" wrapText="1"/>
    </xf>
    <xf numFmtId="164" fontId="23" fillId="25" borderId="11" xfId="205" applyFont="1" applyFill="1" applyBorder="1" applyAlignment="1">
      <alignment horizontal="center" wrapText="1"/>
    </xf>
    <xf numFmtId="164" fontId="23" fillId="25" borderId="15" xfId="205" applyFont="1" applyFill="1" applyBorder="1" applyAlignment="1">
      <alignment horizontal="center" wrapText="1"/>
    </xf>
    <xf numFmtId="164" fontId="23" fillId="69" borderId="22" xfId="205" applyFont="1" applyFill="1" applyBorder="1" applyAlignment="1">
      <alignment horizontal="center" wrapText="1" shrinkToFit="1"/>
    </xf>
    <xf numFmtId="164" fontId="23" fillId="69" borderId="17" xfId="205" applyFont="1" applyFill="1" applyBorder="1" applyAlignment="1">
      <alignment horizontal="center" wrapText="1" shrinkToFit="1"/>
    </xf>
    <xf numFmtId="164" fontId="24" fillId="0" borderId="49" xfId="205" applyFont="1" applyFill="1" applyBorder="1" applyAlignment="1">
      <alignment horizontal="center"/>
    </xf>
    <xf numFmtId="164" fontId="23" fillId="72" borderId="48" xfId="205" applyFont="1" applyFill="1" applyBorder="1" applyAlignment="1">
      <alignment horizontal="center"/>
    </xf>
    <xf numFmtId="164" fontId="115" fillId="68" borderId="32" xfId="205" applyFont="1" applyFill="1" applyBorder="1" applyAlignment="1">
      <alignment horizontal="center"/>
    </xf>
    <xf numFmtId="164" fontId="24" fillId="69" borderId="49" xfId="205" applyFont="1" applyFill="1" applyBorder="1" applyAlignment="1">
      <alignment horizontal="center"/>
    </xf>
    <xf numFmtId="164" fontId="24" fillId="72" borderId="33" xfId="205" applyFont="1" applyFill="1" applyBorder="1" applyAlignment="1">
      <alignment horizontal="center"/>
    </xf>
    <xf numFmtId="164" fontId="23" fillId="68" borderId="49" xfId="205" applyFont="1" applyFill="1" applyBorder="1" applyAlignment="1">
      <alignment horizontal="center"/>
    </xf>
    <xf numFmtId="164" fontId="115" fillId="0" borderId="33" xfId="205" applyFont="1" applyFill="1" applyBorder="1" applyAlignment="1">
      <alignment horizontal="center" wrapText="1"/>
    </xf>
    <xf numFmtId="164" fontId="115" fillId="0" borderId="32" xfId="205" applyFont="1" applyFill="1" applyBorder="1" applyAlignment="1">
      <alignment horizontal="center" wrapText="1"/>
    </xf>
    <xf numFmtId="164" fontId="115" fillId="27" borderId="33" xfId="205" applyFont="1" applyFill="1" applyBorder="1" applyAlignment="1">
      <alignment horizontal="center" wrapText="1"/>
    </xf>
    <xf numFmtId="164" fontId="115" fillId="68" borderId="33" xfId="205" applyFont="1" applyFill="1" applyBorder="1" applyAlignment="1">
      <alignment horizontal="center"/>
    </xf>
    <xf numFmtId="164" fontId="24" fillId="69" borderId="22" xfId="205" applyFont="1" applyFill="1" applyBorder="1" applyAlignment="1">
      <alignment horizontal="center"/>
    </xf>
    <xf numFmtId="164" fontId="23" fillId="27" borderId="15" xfId="205" applyFont="1" applyFill="1" applyBorder="1" applyAlignment="1">
      <alignment horizontal="center" wrapText="1"/>
    </xf>
    <xf numFmtId="164" fontId="23" fillId="27" borderId="15" xfId="205" applyFont="1" applyFill="1" applyBorder="1" applyAlignment="1">
      <alignment horizontal="center"/>
    </xf>
    <xf numFmtId="164" fontId="23" fillId="68" borderId="43" xfId="205" applyFont="1" applyFill="1" applyBorder="1" applyAlignment="1">
      <alignment horizontal="center"/>
    </xf>
    <xf numFmtId="164" fontId="23" fillId="68" borderId="12" xfId="205" applyFont="1" applyFill="1" applyBorder="1" applyAlignment="1">
      <alignment horizontal="center"/>
    </xf>
    <xf numFmtId="164" fontId="23" fillId="27" borderId="43" xfId="205" applyFont="1" applyFill="1" applyBorder="1" applyAlignment="1">
      <alignment horizontal="center"/>
    </xf>
    <xf numFmtId="0" fontId="23" fillId="72" borderId="43" xfId="0" applyFont="1" applyFill="1" applyBorder="1" applyAlignment="1">
      <alignment horizontal="center" vertical="center" wrapText="1"/>
    </xf>
    <xf numFmtId="0" fontId="23" fillId="72" borderId="12" xfId="0" applyFont="1" applyFill="1" applyBorder="1" applyAlignment="1">
      <alignment horizontal="center" vertical="center" wrapText="1"/>
    </xf>
    <xf numFmtId="164" fontId="115" fillId="72" borderId="22" xfId="205" applyFont="1" applyFill="1" applyBorder="1" applyAlignment="1">
      <alignment horizontal="center"/>
    </xf>
    <xf numFmtId="164" fontId="23" fillId="72" borderId="30" xfId="205" applyFont="1" applyFill="1" applyBorder="1" applyAlignment="1">
      <alignment horizontal="center"/>
    </xf>
    <xf numFmtId="164" fontId="23" fillId="72" borderId="0" xfId="205" applyFont="1" applyFill="1" applyBorder="1" applyAlignment="1">
      <alignment horizontal="center"/>
    </xf>
    <xf numFmtId="164" fontId="115" fillId="72" borderId="32" xfId="205" applyFont="1" applyFill="1" applyBorder="1" applyAlignment="1">
      <alignment horizontal="center"/>
    </xf>
    <xf numFmtId="164" fontId="23" fillId="72" borderId="12" xfId="205" applyFont="1" applyFill="1" applyBorder="1" applyAlignment="1">
      <alignment horizontal="center"/>
    </xf>
    <xf numFmtId="164" fontId="23" fillId="72" borderId="51" xfId="205" applyFont="1" applyFill="1" applyBorder="1" applyAlignment="1">
      <alignment horizontal="center"/>
    </xf>
    <xf numFmtId="164" fontId="23" fillId="72" borderId="40" xfId="205" applyFont="1" applyFill="1" applyBorder="1" applyAlignment="1">
      <alignment horizontal="center"/>
    </xf>
    <xf numFmtId="164" fontId="23" fillId="72" borderId="52" xfId="205" applyFont="1" applyFill="1" applyBorder="1" applyAlignment="1">
      <alignment horizontal="center"/>
    </xf>
    <xf numFmtId="164" fontId="23" fillId="72" borderId="17" xfId="205" applyFont="1" applyFill="1" applyBorder="1" applyAlignment="1">
      <alignment horizontal="center"/>
    </xf>
    <xf numFmtId="164" fontId="23" fillId="72" borderId="22" xfId="205" applyFont="1" applyFill="1" applyBorder="1" applyAlignment="1">
      <alignment horizontal="center"/>
    </xf>
    <xf numFmtId="164" fontId="23" fillId="72" borderId="26" xfId="205" applyFont="1" applyFill="1" applyBorder="1" applyAlignment="1">
      <alignment horizontal="center"/>
    </xf>
    <xf numFmtId="164" fontId="23" fillId="72" borderId="32" xfId="205" applyFont="1" applyFill="1" applyBorder="1" applyAlignment="1">
      <alignment horizontal="center"/>
    </xf>
    <xf numFmtId="164" fontId="23" fillId="68" borderId="32" xfId="205" applyFont="1" applyFill="1" applyBorder="1" applyAlignment="1">
      <alignment horizontal="center"/>
    </xf>
    <xf numFmtId="164" fontId="115" fillId="27" borderId="22" xfId="205" applyFont="1" applyFill="1" applyBorder="1" applyAlignment="1">
      <alignment horizontal="center" wrapText="1"/>
    </xf>
    <xf numFmtId="164" fontId="115" fillId="27" borderId="32" xfId="205" applyFont="1" applyFill="1" applyBorder="1" applyAlignment="1">
      <alignment horizontal="center" wrapText="1"/>
    </xf>
    <xf numFmtId="164" fontId="23" fillId="27" borderId="44" xfId="205" applyFont="1" applyFill="1" applyBorder="1" applyAlignment="1">
      <alignment horizontal="center"/>
    </xf>
    <xf numFmtId="164" fontId="23" fillId="27" borderId="0" xfId="205" applyFont="1" applyFill="1" applyBorder="1" applyAlignment="1">
      <alignment horizontal="center" wrapText="1"/>
    </xf>
    <xf numFmtId="164" fontId="23" fillId="68" borderId="20" xfId="205" applyFont="1" applyFill="1" applyBorder="1" applyAlignment="1">
      <alignment horizontal="center"/>
    </xf>
    <xf numFmtId="164" fontId="23" fillId="68" borderId="36" xfId="205" applyFont="1" applyFill="1" applyBorder="1" applyAlignment="1">
      <alignment horizontal="center"/>
    </xf>
    <xf numFmtId="164" fontId="24" fillId="0" borderId="22" xfId="205" applyFont="1" applyFill="1" applyBorder="1" applyAlignment="1">
      <alignment horizontal="center" wrapText="1"/>
    </xf>
    <xf numFmtId="164" fontId="24" fillId="72" borderId="17" xfId="205" applyFont="1" applyFill="1" applyBorder="1" applyAlignment="1">
      <alignment horizontal="center"/>
    </xf>
    <xf numFmtId="164" fontId="24" fillId="72" borderId="22" xfId="205" applyFont="1" applyFill="1" applyBorder="1" applyAlignment="1">
      <alignment horizontal="center"/>
    </xf>
    <xf numFmtId="164" fontId="24" fillId="72" borderId="26" xfId="205" applyFont="1" applyFill="1" applyBorder="1" applyAlignment="1">
      <alignment horizontal="center"/>
    </xf>
    <xf numFmtId="164" fontId="24" fillId="72" borderId="32" xfId="205" applyFont="1" applyFill="1" applyBorder="1" applyAlignment="1">
      <alignment horizontal="center"/>
    </xf>
    <xf numFmtId="164" fontId="23" fillId="72" borderId="15" xfId="205" applyFont="1" applyFill="1" applyBorder="1" applyAlignment="1">
      <alignment horizontal="center"/>
    </xf>
    <xf numFmtId="164" fontId="24" fillId="72" borderId="40" xfId="205" applyFont="1" applyFill="1" applyBorder="1" applyAlignment="1">
      <alignment horizontal="center"/>
    </xf>
    <xf numFmtId="164" fontId="24" fillId="72" borderId="23" xfId="205" applyFont="1" applyFill="1" applyBorder="1" applyAlignment="1">
      <alignment horizontal="center"/>
    </xf>
    <xf numFmtId="164" fontId="24" fillId="72" borderId="49" xfId="205" applyFont="1" applyFill="1" applyBorder="1" applyAlignment="1">
      <alignment horizontal="center"/>
    </xf>
    <xf numFmtId="164" fontId="23" fillId="72" borderId="34" xfId="205" applyFont="1" applyFill="1" applyBorder="1" applyAlignment="1">
      <alignment horizontal="center"/>
    </xf>
    <xf numFmtId="164" fontId="23" fillId="72" borderId="20" xfId="205" applyFont="1" applyFill="1" applyBorder="1" applyAlignment="1">
      <alignment horizontal="center"/>
    </xf>
    <xf numFmtId="164" fontId="23" fillId="72" borderId="47" xfId="205" applyFont="1" applyFill="1" applyBorder="1" applyAlignment="1">
      <alignment horizontal="center"/>
    </xf>
    <xf numFmtId="164" fontId="23" fillId="0" borderId="31" xfId="205" applyFont="1" applyBorder="1" applyAlignment="1">
      <alignment horizontal="center" wrapText="1" shrinkToFit="1"/>
    </xf>
    <xf numFmtId="164" fontId="23" fillId="0" borderId="11" xfId="205" applyFont="1" applyBorder="1" applyAlignment="1">
      <alignment horizontal="center" wrapText="1" shrinkToFit="1"/>
    </xf>
    <xf numFmtId="164" fontId="23" fillId="27" borderId="31" xfId="205" applyFont="1" applyFill="1" applyBorder="1" applyAlignment="1">
      <alignment horizontal="center" wrapText="1" shrinkToFit="1"/>
    </xf>
    <xf numFmtId="164" fontId="23" fillId="0" borderId="33" xfId="205" applyFont="1" applyFill="1" applyBorder="1" applyAlignment="1">
      <alignment horizontal="center" wrapText="1" shrinkToFit="1"/>
    </xf>
    <xf numFmtId="164" fontId="23" fillId="27" borderId="16" xfId="205"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2" borderId="47" xfId="0" applyFont="1" applyFill="1" applyBorder="1" applyAlignment="1">
      <alignment horizontal="center" vertical="center" wrapText="1"/>
    </xf>
    <xf numFmtId="164" fontId="23" fillId="72" borderId="50" xfId="205" applyFont="1" applyFill="1" applyBorder="1" applyAlignment="1">
      <alignment horizontal="center"/>
    </xf>
    <xf numFmtId="0" fontId="4" fillId="68" borderId="36" xfId="0" applyFont="1" applyFill="1" applyBorder="1" applyAlignment="1">
      <alignment horizontal="center" vertical="center" wrapText="1"/>
    </xf>
    <xf numFmtId="0" fontId="4" fillId="72" borderId="14" xfId="0" applyFont="1" applyFill="1" applyBorder="1" applyAlignment="1">
      <alignment horizontal="center" vertical="center" wrapText="1"/>
    </xf>
    <xf numFmtId="0" fontId="4" fillId="72" borderId="34" xfId="0" applyFont="1" applyFill="1" applyBorder="1" applyAlignment="1">
      <alignment horizontal="center" vertical="center" wrapText="1"/>
    </xf>
    <xf numFmtId="0" fontId="23" fillId="68" borderId="36" xfId="0" applyFont="1" applyFill="1" applyBorder="1" applyAlignment="1">
      <alignment horizontal="center" vertical="center" wrapText="1"/>
    </xf>
    <xf numFmtId="4" fontId="124" fillId="0" borderId="0" xfId="41" applyNumberFormat="1" applyFont="1" applyBorder="1" applyProtection="1">
      <alignment horizontal="right" vertical="top" shrinkToFit="1"/>
    </xf>
    <xf numFmtId="164" fontId="23" fillId="72" borderId="18" xfId="205" applyFont="1" applyFill="1" applyBorder="1" applyAlignment="1">
      <alignment horizontal="center"/>
    </xf>
    <xf numFmtId="164" fontId="115" fillId="72" borderId="49" xfId="205" applyFont="1" applyFill="1" applyBorder="1" applyAlignment="1">
      <alignment horizontal="center"/>
    </xf>
    <xf numFmtId="0" fontId="18" fillId="0" borderId="43" xfId="0" applyFont="1" applyFill="1" applyBorder="1" applyAlignment="1">
      <alignment horizontal="center"/>
    </xf>
    <xf numFmtId="164" fontId="17" fillId="0" borderId="44" xfId="205" applyNumberFormat="1" applyFont="1" applyFill="1" applyBorder="1" applyAlignment="1"/>
    <xf numFmtId="164" fontId="17" fillId="0" borderId="19" xfId="205" applyNumberFormat="1" applyFont="1" applyFill="1" applyBorder="1" applyAlignment="1"/>
    <xf numFmtId="164" fontId="25" fillId="0" borderId="43" xfId="0" applyNumberFormat="1" applyFont="1" applyFill="1" applyBorder="1"/>
    <xf numFmtId="164" fontId="25" fillId="0" borderId="44" xfId="0" applyNumberFormat="1" applyFont="1" applyFill="1" applyBorder="1"/>
    <xf numFmtId="164" fontId="17" fillId="0" borderId="47" xfId="205" applyNumberFormat="1" applyFont="1" applyFill="1" applyBorder="1" applyAlignment="1">
      <alignment horizontal="center"/>
    </xf>
    <xf numFmtId="164" fontId="17" fillId="0" borderId="15" xfId="205" applyNumberFormat="1" applyFont="1" applyFill="1" applyBorder="1" applyAlignment="1"/>
    <xf numFmtId="164" fontId="17" fillId="0" borderId="18" xfId="205" applyNumberFormat="1" applyFont="1" applyFill="1" applyBorder="1" applyAlignment="1"/>
    <xf numFmtId="164" fontId="25" fillId="0" borderId="15" xfId="0" applyNumberFormat="1" applyFont="1" applyFill="1" applyBorder="1"/>
    <xf numFmtId="164" fontId="117" fillId="0" borderId="0" xfId="0" applyNumberFormat="1" applyFont="1" applyAlignment="1">
      <alignment vertical="center"/>
    </xf>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Fill="1" applyAlignment="1">
      <alignment vertical="center"/>
    </xf>
    <xf numFmtId="164" fontId="29" fillId="0" borderId="0" xfId="0" applyNumberFormat="1" applyFont="1" applyAlignment="1">
      <alignment vertical="center"/>
    </xf>
    <xf numFmtId="0" fontId="29" fillId="0" borderId="0" xfId="0" applyFont="1" applyAlignment="1">
      <alignment horizontal="center" vertical="center"/>
    </xf>
    <xf numFmtId="164" fontId="23" fillId="0" borderId="20" xfId="205" applyFont="1" applyFill="1" applyBorder="1" applyAlignment="1">
      <alignment horizontal="center" shrinkToFit="1"/>
    </xf>
    <xf numFmtId="164" fontId="23" fillId="25" borderId="16" xfId="205" applyFont="1" applyFill="1" applyBorder="1" applyAlignment="1">
      <alignment horizontal="center" wrapText="1" shrinkToFit="1"/>
    </xf>
    <xf numFmtId="3" fontId="23" fillId="72" borderId="11" xfId="0" applyNumberFormat="1" applyFont="1" applyFill="1" applyBorder="1" applyAlignment="1">
      <alignment horizontal="center" vertical="center" wrapText="1"/>
    </xf>
    <xf numFmtId="3" fontId="23" fillId="72" borderId="12" xfId="0" applyNumberFormat="1" applyFont="1" applyFill="1" applyBorder="1" applyAlignment="1">
      <alignment horizontal="center" vertical="center" wrapText="1"/>
    </xf>
    <xf numFmtId="0" fontId="4" fillId="72" borderId="47" xfId="0" applyFont="1" applyFill="1" applyBorder="1" applyAlignment="1">
      <alignment horizontal="center" vertical="center" wrapText="1"/>
    </xf>
    <xf numFmtId="0" fontId="4" fillId="72" borderId="43" xfId="0" applyFont="1" applyFill="1" applyBorder="1" applyAlignment="1">
      <alignment horizontal="center" vertical="center" wrapText="1"/>
    </xf>
    <xf numFmtId="164" fontId="23" fillId="25" borderId="43" xfId="205" applyFont="1" applyFill="1" applyBorder="1" applyAlignment="1">
      <alignment horizontal="center" wrapText="1"/>
    </xf>
    <xf numFmtId="164" fontId="23" fillId="25" borderId="23" xfId="205" applyFont="1" applyFill="1" applyBorder="1" applyAlignment="1">
      <alignment horizontal="center" wrapText="1" shrinkToFit="1"/>
    </xf>
    <xf numFmtId="164" fontId="31" fillId="68" borderId="38" xfId="205" applyFont="1" applyFill="1" applyBorder="1" applyAlignment="1">
      <alignment vertical="center"/>
    </xf>
    <xf numFmtId="165" fontId="29" fillId="0" borderId="0" xfId="205"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5"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6" fillId="0" borderId="61" xfId="205" applyFont="1" applyBorder="1" applyAlignment="1" applyProtection="1">
      <alignment horizontal="right" vertical="center" shrinkToFit="1"/>
    </xf>
    <xf numFmtId="4" fontId="119"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4" fontId="117" fillId="0" borderId="38" xfId="0" applyNumberFormat="1" applyFont="1" applyBorder="1" applyAlignment="1">
      <alignment vertical="center"/>
    </xf>
    <xf numFmtId="164" fontId="31" fillId="0" borderId="38" xfId="0" applyNumberFormat="1" applyFont="1" applyBorder="1" applyAlignment="1">
      <alignment vertical="center"/>
    </xf>
    <xf numFmtId="165" fontId="29" fillId="0" borderId="0" xfId="205" applyNumberFormat="1" applyFont="1" applyFill="1" applyAlignment="1">
      <alignment vertical="center"/>
    </xf>
    <xf numFmtId="164" fontId="31" fillId="0" borderId="0" xfId="0" applyNumberFormat="1" applyFont="1" applyFill="1" applyAlignment="1">
      <alignment vertical="center"/>
    </xf>
    <xf numFmtId="0" fontId="23" fillId="69" borderId="15" xfId="0" applyFont="1" applyFill="1" applyBorder="1" applyAlignment="1">
      <alignment horizontal="center" vertical="center" wrapText="1"/>
    </xf>
    <xf numFmtId="0" fontId="23" fillId="69" borderId="11" xfId="0" applyFont="1" applyFill="1" applyBorder="1" applyAlignment="1">
      <alignment horizontal="center" vertical="center" wrapText="1"/>
    </xf>
    <xf numFmtId="164" fontId="115" fillId="69" borderId="20" xfId="205" applyFont="1" applyFill="1" applyBorder="1" applyAlignment="1">
      <alignment horizontal="center"/>
    </xf>
    <xf numFmtId="164" fontId="23" fillId="68" borderId="31" xfId="205" applyFont="1" applyFill="1" applyBorder="1" applyAlignment="1">
      <alignment horizontal="center"/>
    </xf>
    <xf numFmtId="4" fontId="119" fillId="0" borderId="61" xfId="104"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24" fillId="68" borderId="37" xfId="205" applyFont="1" applyFill="1" applyBorder="1" applyAlignment="1">
      <alignment horizontal="center" wrapText="1" shrinkToFit="1"/>
    </xf>
    <xf numFmtId="164" fontId="23" fillId="0" borderId="37" xfId="205" applyFont="1" applyFill="1" applyBorder="1" applyAlignment="1">
      <alignment horizontal="center" shrinkToFit="1"/>
    </xf>
    <xf numFmtId="164" fontId="23" fillId="0" borderId="49" xfId="205" applyFont="1" applyFill="1" applyBorder="1" applyAlignment="1">
      <alignment horizontal="center" shrinkToFit="1"/>
    </xf>
    <xf numFmtId="0" fontId="23" fillId="25" borderId="34" xfId="0" applyFont="1" applyFill="1" applyBorder="1" applyAlignment="1">
      <alignment horizontal="center" vertical="center"/>
    </xf>
    <xf numFmtId="164" fontId="24" fillId="0" borderId="13" xfId="205" applyFont="1" applyFill="1" applyBorder="1" applyAlignment="1">
      <alignment horizontal="center" wrapText="1" shrinkToFit="1"/>
    </xf>
    <xf numFmtId="164" fontId="23" fillId="0" borderId="31" xfId="205" applyFont="1" applyFill="1" applyBorder="1" applyAlignment="1">
      <alignment horizontal="center" shrinkToFit="1"/>
    </xf>
    <xf numFmtId="164" fontId="24" fillId="0" borderId="50" xfId="205" applyFont="1" applyFill="1" applyBorder="1" applyAlignment="1">
      <alignment horizontal="center"/>
    </xf>
    <xf numFmtId="164" fontId="24" fillId="68" borderId="16" xfId="205" applyFont="1" applyFill="1" applyBorder="1" applyAlignment="1">
      <alignment horizontal="center" wrapText="1" shrinkToFit="1"/>
    </xf>
    <xf numFmtId="3" fontId="23" fillId="25" borderId="11" xfId="0" applyNumberFormat="1" applyFont="1" applyFill="1" applyBorder="1" applyAlignment="1">
      <alignment horizontal="center" vertical="center"/>
    </xf>
    <xf numFmtId="164" fontId="24" fillId="68" borderId="21" xfId="205" applyFont="1" applyFill="1" applyBorder="1" applyAlignment="1">
      <alignment horizontal="center" wrapText="1" shrinkToFit="1"/>
    </xf>
    <xf numFmtId="164" fontId="24" fillId="68" borderId="25" xfId="205" applyFont="1" applyFill="1" applyBorder="1" applyAlignment="1">
      <alignment horizontal="center" wrapText="1" shrinkToFit="1"/>
    </xf>
    <xf numFmtId="164" fontId="24" fillId="68" borderId="29" xfId="205" applyFont="1" applyFill="1" applyBorder="1" applyAlignment="1">
      <alignment horizontal="center" wrapText="1" shrinkToFit="1"/>
    </xf>
    <xf numFmtId="3" fontId="23" fillId="25" borderId="15" xfId="0" applyNumberFormat="1" applyFont="1" applyFill="1" applyBorder="1" applyAlignment="1">
      <alignment horizontal="center" vertical="center"/>
    </xf>
    <xf numFmtId="164" fontId="24" fillId="68" borderId="18" xfId="205" applyFont="1" applyFill="1" applyBorder="1" applyAlignment="1">
      <alignment horizontal="center" wrapText="1" shrinkToFit="1"/>
    </xf>
    <xf numFmtId="164" fontId="24" fillId="68" borderId="20" xfId="205" applyFont="1" applyFill="1" applyBorder="1" applyAlignment="1">
      <alignment horizontal="center" wrapText="1" shrinkToFit="1"/>
    </xf>
    <xf numFmtId="164" fontId="115" fillId="0" borderId="33" xfId="205" applyFont="1" applyFill="1" applyBorder="1" applyAlignment="1">
      <alignment horizontal="center"/>
    </xf>
    <xf numFmtId="164" fontId="24" fillId="69" borderId="16" xfId="205" applyFont="1" applyFill="1" applyBorder="1" applyAlignment="1">
      <alignment horizontal="center" wrapText="1"/>
    </xf>
    <xf numFmtId="164" fontId="23" fillId="25" borderId="17" xfId="205" applyFont="1" applyFill="1" applyBorder="1" applyAlignment="1">
      <alignment horizontal="center" wrapText="1" shrinkToFit="1"/>
    </xf>
    <xf numFmtId="164" fontId="24" fillId="69" borderId="21" xfId="205" applyFont="1" applyFill="1" applyBorder="1" applyAlignment="1">
      <alignment horizontal="center" wrapText="1"/>
    </xf>
    <xf numFmtId="164" fontId="23" fillId="72" borderId="58" xfId="205" applyFont="1" applyFill="1" applyBorder="1" applyAlignment="1">
      <alignment horizontal="center"/>
    </xf>
    <xf numFmtId="164" fontId="24" fillId="72" borderId="58" xfId="205" applyFont="1" applyFill="1" applyBorder="1" applyAlignment="1">
      <alignment horizontal="center"/>
    </xf>
    <xf numFmtId="164" fontId="115" fillId="69" borderId="37" xfId="205" applyFont="1" applyFill="1" applyBorder="1" applyAlignment="1">
      <alignment horizontal="center"/>
    </xf>
    <xf numFmtId="0" fontId="4" fillId="68" borderId="34" xfId="0" applyFont="1" applyFill="1" applyBorder="1" applyAlignment="1">
      <alignment horizontal="center" vertical="center" wrapText="1"/>
    </xf>
    <xf numFmtId="0" fontId="23" fillId="72" borderId="34" xfId="0" applyFont="1" applyFill="1" applyBorder="1" applyAlignment="1">
      <alignment horizontal="center" vertical="center" wrapText="1"/>
    </xf>
    <xf numFmtId="0" fontId="23" fillId="72" borderId="14" xfId="0" quotePrefix="1" applyFont="1" applyFill="1" applyBorder="1" applyAlignment="1">
      <alignment horizontal="center" vertical="center" wrapText="1"/>
    </xf>
    <xf numFmtId="164" fontId="24" fillId="72" borderId="37" xfId="205" applyFont="1" applyFill="1" applyBorder="1" applyAlignment="1">
      <alignment horizontal="center"/>
    </xf>
    <xf numFmtId="164" fontId="24" fillId="0" borderId="13" xfId="205" applyFont="1" applyFill="1" applyBorder="1" applyAlignment="1">
      <alignment horizontal="center"/>
    </xf>
    <xf numFmtId="164" fontId="24" fillId="68" borderId="13" xfId="205" applyFont="1" applyFill="1" applyBorder="1" applyAlignment="1">
      <alignment horizontal="center"/>
    </xf>
    <xf numFmtId="164" fontId="24" fillId="72" borderId="13" xfId="205" applyFont="1" applyFill="1" applyBorder="1" applyAlignment="1">
      <alignment horizontal="center"/>
    </xf>
    <xf numFmtId="164" fontId="24" fillId="0" borderId="31" xfId="205" applyFont="1" applyFill="1" applyBorder="1" applyAlignment="1">
      <alignment horizontal="center"/>
    </xf>
    <xf numFmtId="164" fontId="24" fillId="69" borderId="31" xfId="205" applyFont="1" applyFill="1" applyBorder="1" applyAlignment="1">
      <alignment horizontal="center"/>
    </xf>
    <xf numFmtId="164" fontId="115" fillId="68" borderId="0" xfId="205" applyFont="1" applyFill="1" applyBorder="1" applyAlignment="1">
      <alignment horizontal="center"/>
    </xf>
    <xf numFmtId="164" fontId="115" fillId="72" borderId="31" xfId="205" applyFont="1" applyFill="1" applyBorder="1" applyAlignment="1">
      <alignment horizontal="center"/>
    </xf>
    <xf numFmtId="164" fontId="24" fillId="69" borderId="0" xfId="205" applyFont="1" applyFill="1" applyBorder="1" applyAlignment="1">
      <alignment horizontal="center"/>
    </xf>
    <xf numFmtId="164" fontId="115" fillId="68" borderId="31" xfId="205" applyFont="1" applyFill="1" applyBorder="1" applyAlignment="1">
      <alignment horizontal="center"/>
    </xf>
    <xf numFmtId="164" fontId="115" fillId="72" borderId="0" xfId="205" applyFont="1" applyFill="1" applyBorder="1" applyAlignment="1">
      <alignment horizontal="center"/>
    </xf>
    <xf numFmtId="164" fontId="24" fillId="72" borderId="31" xfId="205" applyFont="1" applyFill="1" applyBorder="1" applyAlignment="1">
      <alignment horizontal="center"/>
    </xf>
    <xf numFmtId="164" fontId="24" fillId="0" borderId="0" xfId="205" applyFont="1" applyFill="1" applyBorder="1" applyAlignment="1">
      <alignment horizontal="center"/>
    </xf>
    <xf numFmtId="164" fontId="23" fillId="68" borderId="13" xfId="205" applyFont="1" applyFill="1" applyBorder="1" applyAlignment="1">
      <alignment horizontal="center"/>
    </xf>
    <xf numFmtId="164" fontId="23" fillId="68" borderId="0" xfId="205" applyFont="1" applyFill="1" applyBorder="1" applyAlignment="1">
      <alignment horizontal="center"/>
    </xf>
    <xf numFmtId="164" fontId="24" fillId="72" borderId="0" xfId="205" applyFont="1" applyFill="1" applyBorder="1" applyAlignment="1">
      <alignment horizontal="center"/>
    </xf>
    <xf numFmtId="164" fontId="24" fillId="68" borderId="31" xfId="205" applyFont="1" applyFill="1" applyBorder="1" applyAlignment="1">
      <alignment horizontal="center"/>
    </xf>
    <xf numFmtId="164" fontId="24" fillId="72" borderId="86" xfId="205" applyFont="1" applyFill="1" applyBorder="1" applyAlignment="1">
      <alignment horizontal="center"/>
    </xf>
    <xf numFmtId="164" fontId="23" fillId="68" borderId="48" xfId="205" applyFont="1" applyFill="1" applyBorder="1" applyAlignment="1">
      <alignment horizontal="center"/>
    </xf>
    <xf numFmtId="164" fontId="115" fillId="0" borderId="31" xfId="205" applyFont="1" applyFill="1" applyBorder="1" applyAlignment="1">
      <alignment horizontal="center" wrapText="1"/>
    </xf>
    <xf numFmtId="164" fontId="115" fillId="0" borderId="0" xfId="205" applyFont="1" applyFill="1" applyBorder="1" applyAlignment="1">
      <alignment horizontal="center" wrapText="1"/>
    </xf>
    <xf numFmtId="164" fontId="115" fillId="27" borderId="50" xfId="205" applyFont="1" applyFill="1" applyBorder="1" applyAlignment="1">
      <alignment horizontal="center" wrapText="1"/>
    </xf>
    <xf numFmtId="164" fontId="115" fillId="68" borderId="35" xfId="205" applyFont="1" applyFill="1" applyBorder="1" applyAlignment="1">
      <alignment horizontal="center"/>
    </xf>
    <xf numFmtId="164" fontId="115" fillId="72" borderId="50" xfId="205" applyFont="1" applyFill="1" applyBorder="1" applyAlignment="1">
      <alignment horizontal="center"/>
    </xf>
    <xf numFmtId="164" fontId="115" fillId="72" borderId="35" xfId="205" applyFont="1" applyFill="1" applyBorder="1" applyAlignment="1">
      <alignment horizontal="center"/>
    </xf>
    <xf numFmtId="164" fontId="115" fillId="68" borderId="50" xfId="205" applyFont="1" applyFill="1" applyBorder="1" applyAlignment="1">
      <alignment horizontal="center"/>
    </xf>
    <xf numFmtId="164" fontId="115" fillId="27" borderId="31" xfId="205" applyFont="1" applyFill="1" applyBorder="1" applyAlignment="1">
      <alignment horizontal="center" wrapText="1"/>
    </xf>
    <xf numFmtId="164" fontId="115" fillId="27" borderId="0" xfId="205" applyFont="1" applyFill="1" applyBorder="1" applyAlignment="1">
      <alignment horizontal="center" wrapText="1"/>
    </xf>
    <xf numFmtId="164" fontId="24" fillId="0" borderId="35" xfId="205" applyFont="1" applyFill="1" applyBorder="1" applyAlignment="1">
      <alignment horizontal="center"/>
    </xf>
    <xf numFmtId="164" fontId="24" fillId="0" borderId="53" xfId="205" applyFont="1" applyFill="1" applyBorder="1" applyAlignment="1">
      <alignment horizontal="center"/>
    </xf>
    <xf numFmtId="164" fontId="24" fillId="27" borderId="53" xfId="205" applyFont="1" applyFill="1" applyBorder="1" applyAlignment="1">
      <alignment horizontal="center" wrapText="1"/>
    </xf>
    <xf numFmtId="164" fontId="24" fillId="27" borderId="50" xfId="205" applyFont="1" applyFill="1" applyBorder="1" applyAlignment="1">
      <alignment horizontal="center" wrapText="1"/>
    </xf>
    <xf numFmtId="164" fontId="24" fillId="27" borderId="35" xfId="205" applyFont="1" applyFill="1" applyBorder="1" applyAlignment="1">
      <alignment horizontal="center" wrapText="1"/>
    </xf>
    <xf numFmtId="164" fontId="24" fillId="25" borderId="53" xfId="205" applyFont="1" applyFill="1" applyBorder="1" applyAlignment="1">
      <alignment horizontal="center"/>
    </xf>
    <xf numFmtId="164" fontId="24" fillId="25" borderId="50" xfId="205" applyFont="1" applyFill="1" applyBorder="1" applyAlignment="1">
      <alignment horizontal="center"/>
    </xf>
    <xf numFmtId="164" fontId="24" fillId="25" borderId="35" xfId="205" applyFont="1" applyFill="1" applyBorder="1" applyAlignment="1">
      <alignment horizontal="center"/>
    </xf>
    <xf numFmtId="164" fontId="23" fillId="68" borderId="34" xfId="205" applyFont="1" applyFill="1" applyBorder="1" applyAlignment="1">
      <alignment horizontal="center"/>
    </xf>
    <xf numFmtId="164" fontId="23" fillId="27" borderId="34" xfId="205" applyFont="1" applyFill="1" applyBorder="1" applyAlignment="1">
      <alignment horizontal="center" wrapText="1"/>
    </xf>
    <xf numFmtId="164" fontId="23" fillId="0" borderId="14" xfId="205" applyFont="1" applyFill="1" applyBorder="1" applyAlignment="1">
      <alignment horizontal="center" wrapText="1"/>
    </xf>
    <xf numFmtId="164" fontId="23" fillId="27" borderId="36" xfId="205" applyFont="1" applyFill="1" applyBorder="1" applyAlignment="1">
      <alignment horizontal="center" wrapText="1"/>
    </xf>
    <xf numFmtId="164" fontId="23" fillId="27" borderId="47" xfId="205" applyFont="1" applyFill="1" applyBorder="1" applyAlignment="1">
      <alignment horizontal="center" wrapText="1"/>
    </xf>
    <xf numFmtId="164" fontId="24" fillId="72" borderId="20" xfId="205" applyFont="1" applyFill="1" applyBorder="1" applyAlignment="1">
      <alignment horizontal="center"/>
    </xf>
    <xf numFmtId="164" fontId="23" fillId="69" borderId="47" xfId="205" applyFont="1" applyFill="1" applyBorder="1" applyAlignment="1">
      <alignment horizontal="center"/>
    </xf>
    <xf numFmtId="164" fontId="23" fillId="0" borderId="43" xfId="205" applyFont="1" applyFill="1" applyBorder="1" applyAlignment="1">
      <alignment horizontal="center" wrapText="1"/>
    </xf>
    <xf numFmtId="164" fontId="23" fillId="27" borderId="43" xfId="205" applyFont="1" applyFill="1" applyBorder="1" applyAlignment="1">
      <alignment horizontal="center" wrapText="1"/>
    </xf>
    <xf numFmtId="164" fontId="23" fillId="69" borderId="15" xfId="205" applyFont="1" applyFill="1" applyBorder="1" applyAlignment="1">
      <alignment horizontal="center"/>
    </xf>
    <xf numFmtId="164" fontId="23" fillId="69" borderId="21" xfId="205" applyFont="1" applyFill="1" applyBorder="1" applyAlignment="1">
      <alignment horizontal="center"/>
    </xf>
    <xf numFmtId="164" fontId="24" fillId="72" borderId="19" xfId="205" applyFont="1" applyFill="1" applyBorder="1" applyAlignment="1">
      <alignment horizontal="center"/>
    </xf>
    <xf numFmtId="164" fontId="24" fillId="25" borderId="33" xfId="205" applyFont="1" applyFill="1" applyBorder="1" applyAlignment="1">
      <alignment horizontal="center"/>
    </xf>
    <xf numFmtId="164" fontId="24" fillId="25" borderId="49" xfId="205" applyFont="1" applyFill="1" applyBorder="1" applyAlignment="1">
      <alignment horizontal="center"/>
    </xf>
    <xf numFmtId="164" fontId="24" fillId="27" borderId="50" xfId="205" applyFont="1" applyFill="1" applyBorder="1" applyAlignment="1">
      <alignment horizontal="center"/>
    </xf>
    <xf numFmtId="164" fontId="23" fillId="25" borderId="44" xfId="205" applyFont="1" applyFill="1" applyBorder="1" applyAlignment="1">
      <alignment horizontal="center"/>
    </xf>
    <xf numFmtId="164" fontId="24" fillId="25" borderId="17" xfId="205" applyFont="1" applyFill="1" applyBorder="1" applyAlignment="1">
      <alignment horizontal="center"/>
    </xf>
    <xf numFmtId="164" fontId="24" fillId="25" borderId="32" xfId="205"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164" fontId="24" fillId="72" borderId="28" xfId="205" applyFont="1" applyFill="1" applyBorder="1" applyAlignment="1">
      <alignment horizontal="center"/>
    </xf>
    <xf numFmtId="164" fontId="24" fillId="25" borderId="37" xfId="205" applyFont="1" applyFill="1" applyBorder="1" applyAlignment="1">
      <alignment horizontal="center"/>
    </xf>
    <xf numFmtId="3" fontId="23" fillId="68" borderId="43" xfId="0" applyNumberFormat="1" applyFont="1" applyFill="1" applyBorder="1" applyAlignment="1">
      <alignment horizontal="center" vertical="center" wrapText="1"/>
    </xf>
    <xf numFmtId="0" fontId="23" fillId="68" borderId="12" xfId="0" quotePrefix="1" applyFont="1" applyFill="1" applyBorder="1" applyAlignment="1">
      <alignment horizontal="center" vertical="center" wrapText="1"/>
    </xf>
    <xf numFmtId="164" fontId="23" fillId="0" borderId="26" xfId="205" applyFont="1" applyFill="1" applyBorder="1" applyAlignment="1">
      <alignment horizontal="center" wrapText="1" shrinkToFit="1"/>
    </xf>
    <xf numFmtId="164" fontId="23" fillId="68" borderId="50" xfId="205" applyFont="1" applyFill="1" applyBorder="1" applyAlignment="1">
      <alignment horizontal="center"/>
    </xf>
    <xf numFmtId="164" fontId="23" fillId="68" borderId="53" xfId="205" applyFont="1" applyFill="1" applyBorder="1" applyAlignment="1">
      <alignment horizontal="center"/>
    </xf>
    <xf numFmtId="164" fontId="23" fillId="72" borderId="35" xfId="205" applyFont="1" applyFill="1" applyBorder="1" applyAlignment="1">
      <alignment horizontal="center"/>
    </xf>
    <xf numFmtId="164" fontId="115" fillId="25" borderId="50" xfId="205" applyFont="1" applyFill="1" applyBorder="1" applyAlignment="1">
      <alignment horizontal="center"/>
    </xf>
    <xf numFmtId="164" fontId="115" fillId="72" borderId="85" xfId="205" applyFont="1" applyFill="1" applyBorder="1" applyAlignment="1">
      <alignment horizontal="center"/>
    </xf>
    <xf numFmtId="164" fontId="23" fillId="72" borderId="53" xfId="205" applyFont="1" applyFill="1" applyBorder="1" applyAlignment="1">
      <alignment horizontal="center"/>
    </xf>
    <xf numFmtId="3" fontId="23" fillId="72" borderId="11" xfId="0" applyNumberFormat="1" applyFont="1" applyFill="1" applyBorder="1" applyAlignment="1">
      <alignment horizontal="center" vertical="center"/>
    </xf>
    <xf numFmtId="164" fontId="24" fillId="72" borderId="21" xfId="205" applyFont="1" applyFill="1" applyBorder="1" applyAlignment="1">
      <alignment horizontal="center" wrapText="1" shrinkToFit="1"/>
    </xf>
    <xf numFmtId="3" fontId="23" fillId="72" borderId="36" xfId="0" applyNumberFormat="1" applyFont="1" applyFill="1" applyBorder="1" applyAlignment="1">
      <alignment horizontal="center" vertical="center"/>
    </xf>
    <xf numFmtId="164" fontId="29" fillId="72" borderId="38" xfId="205" applyNumberFormat="1" applyFont="1" applyFill="1" applyBorder="1" applyAlignment="1">
      <alignment vertical="center"/>
    </xf>
    <xf numFmtId="164" fontId="117" fillId="0" borderId="0" xfId="0" applyNumberFormat="1" applyFont="1" applyFill="1" applyAlignment="1">
      <alignment vertical="center"/>
    </xf>
    <xf numFmtId="164" fontId="29" fillId="0" borderId="0" xfId="205"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5"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60" xfId="208" applyProtection="1">
      <alignment horizontal="right" vertical="top" shrinkToFit="1"/>
    </xf>
    <xf numFmtId="0" fontId="23" fillId="68" borderId="14" xfId="0" applyFont="1" applyFill="1" applyBorder="1" applyAlignment="1">
      <alignment horizontal="center" vertical="center"/>
    </xf>
    <xf numFmtId="164" fontId="115" fillId="27" borderId="16" xfId="205" applyFont="1" applyFill="1" applyBorder="1" applyAlignment="1">
      <alignment horizontal="center"/>
    </xf>
    <xf numFmtId="164" fontId="115" fillId="27" borderId="21" xfId="205" applyFont="1" applyFill="1" applyBorder="1" applyAlignment="1">
      <alignment horizontal="center"/>
    </xf>
    <xf numFmtId="164" fontId="115" fillId="27" borderId="25" xfId="205" applyFont="1" applyFill="1" applyBorder="1" applyAlignment="1">
      <alignment horizontal="center"/>
    </xf>
    <xf numFmtId="164" fontId="115" fillId="0" borderId="16" xfId="205" applyFont="1" applyFill="1" applyBorder="1" applyAlignment="1">
      <alignment horizontal="center"/>
    </xf>
    <xf numFmtId="164" fontId="115" fillId="0" borderId="21" xfId="205" applyFont="1" applyFill="1" applyBorder="1" applyAlignment="1">
      <alignment horizontal="center"/>
    </xf>
    <xf numFmtId="164" fontId="115" fillId="0" borderId="25" xfId="205" applyFont="1" applyFill="1" applyBorder="1" applyAlignment="1">
      <alignment horizontal="center"/>
    </xf>
    <xf numFmtId="164" fontId="115" fillId="27" borderId="18" xfId="205" applyFont="1" applyFill="1" applyBorder="1" applyAlignment="1">
      <alignment horizontal="center"/>
    </xf>
    <xf numFmtId="164" fontId="115" fillId="27" borderId="20" xfId="205" applyFont="1" applyFill="1" applyBorder="1" applyAlignment="1">
      <alignment horizontal="center"/>
    </xf>
    <xf numFmtId="164" fontId="115" fillId="27" borderId="27" xfId="205" applyFont="1" applyFill="1" applyBorder="1" applyAlignment="1">
      <alignment horizontal="center"/>
    </xf>
    <xf numFmtId="4" fontId="125" fillId="0" borderId="61" xfId="104" applyNumberFormat="1" applyFont="1" applyBorder="1" applyAlignment="1" applyProtection="1">
      <alignment horizontal="right" shrinkToFit="1"/>
    </xf>
    <xf numFmtId="164" fontId="31" fillId="0" borderId="42" xfId="205" applyFont="1" applyFill="1" applyBorder="1" applyAlignment="1">
      <alignment horizontal="center" vertical="center"/>
    </xf>
    <xf numFmtId="164" fontId="23" fillId="68" borderId="16" xfId="205" applyFont="1" applyFill="1" applyBorder="1" applyAlignment="1">
      <alignment horizontal="center" wrapText="1" shrinkToFit="1"/>
    </xf>
    <xf numFmtId="164" fontId="23" fillId="72" borderId="19" xfId="205" applyFont="1" applyFill="1" applyBorder="1" applyAlignment="1">
      <alignment horizontal="center" wrapText="1" shrinkToFit="1"/>
    </xf>
    <xf numFmtId="164" fontId="23" fillId="72" borderId="23" xfId="205" applyFont="1" applyFill="1" applyBorder="1" applyAlignment="1">
      <alignment horizontal="center" wrapText="1" shrinkToFit="1"/>
    </xf>
    <xf numFmtId="164" fontId="23" fillId="72" borderId="28" xfId="205" applyFont="1" applyFill="1" applyBorder="1" applyAlignment="1">
      <alignment horizontal="center" wrapText="1" shrinkToFit="1"/>
    </xf>
    <xf numFmtId="164" fontId="23" fillId="68" borderId="21" xfId="205" applyFont="1" applyFill="1" applyBorder="1" applyAlignment="1">
      <alignment horizontal="center" wrapText="1" shrinkToFit="1"/>
    </xf>
    <xf numFmtId="164" fontId="23" fillId="68" borderId="25" xfId="205" applyFont="1" applyFill="1" applyBorder="1" applyAlignment="1">
      <alignment horizontal="center" wrapText="1" shrinkToFit="1"/>
    </xf>
    <xf numFmtId="164" fontId="24" fillId="72" borderId="16" xfId="205" applyFont="1" applyFill="1" applyBorder="1" applyAlignment="1">
      <alignment horizontal="center" wrapText="1" shrinkToFit="1"/>
    </xf>
    <xf numFmtId="164" fontId="24" fillId="72" borderId="25" xfId="205"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115" fillId="0" borderId="16" xfId="205" applyFont="1" applyFill="1" applyBorder="1" applyAlignment="1">
      <alignment horizontal="center" shrinkToFit="1"/>
    </xf>
    <xf numFmtId="164" fontId="115" fillId="0" borderId="21" xfId="205" applyFont="1" applyFill="1" applyBorder="1" applyAlignment="1">
      <alignment horizontal="center" shrinkToFit="1"/>
    </xf>
    <xf numFmtId="164" fontId="115" fillId="0" borderId="25" xfId="205" applyFont="1" applyFill="1" applyBorder="1" applyAlignment="1">
      <alignment horizontal="center" shrinkToFit="1"/>
    </xf>
    <xf numFmtId="164" fontId="29" fillId="0" borderId="38" xfId="205" applyNumberFormat="1" applyFont="1" applyBorder="1" applyAlignment="1">
      <alignment horizontal="center" vertical="center" wrapText="1"/>
    </xf>
    <xf numFmtId="4" fontId="119" fillId="0" borderId="61" xfId="101" applyNumberFormat="1" applyFont="1" applyBorder="1" applyAlignment="1" applyProtection="1">
      <alignment horizontal="right" vertical="top" shrinkToFit="1"/>
    </xf>
    <xf numFmtId="164" fontId="23" fillId="68" borderId="27" xfId="205" applyFont="1" applyFill="1" applyBorder="1" applyAlignment="1">
      <alignment horizontal="center"/>
    </xf>
    <xf numFmtId="49" fontId="32" fillId="0" borderId="38" xfId="0" applyNumberFormat="1" applyFont="1" applyBorder="1" applyAlignment="1">
      <alignment horizontal="center" vertical="center" wrapText="1"/>
    </xf>
    <xf numFmtId="164" fontId="23" fillId="72" borderId="85" xfId="205" applyFont="1" applyFill="1" applyBorder="1" applyAlignment="1">
      <alignment horizontal="center"/>
    </xf>
    <xf numFmtId="164" fontId="115" fillId="25" borderId="25" xfId="205" applyFont="1" applyFill="1" applyBorder="1" applyAlignment="1">
      <alignment horizontal="center"/>
    </xf>
    <xf numFmtId="164" fontId="115" fillId="25" borderId="19" xfId="205" applyFont="1" applyFill="1" applyBorder="1" applyAlignment="1">
      <alignment horizontal="center"/>
    </xf>
    <xf numFmtId="164" fontId="115" fillId="25" borderId="23" xfId="205" applyFont="1" applyFill="1" applyBorder="1" applyAlignment="1">
      <alignment horizontal="center"/>
    </xf>
    <xf numFmtId="164" fontId="115" fillId="25" borderId="28" xfId="205" applyFont="1" applyFill="1" applyBorder="1" applyAlignment="1">
      <alignment horizontal="center"/>
    </xf>
    <xf numFmtId="164" fontId="24" fillId="69" borderId="25" xfId="205" applyFont="1" applyFill="1" applyBorder="1" applyAlignment="1">
      <alignment horizontal="center"/>
    </xf>
    <xf numFmtId="0" fontId="23" fillId="0" borderId="38" xfId="0" applyFont="1" applyFill="1" applyBorder="1" applyAlignment="1">
      <alignment horizontal="center" vertical="center"/>
    </xf>
    <xf numFmtId="164" fontId="29" fillId="0" borderId="0" xfId="205" applyFont="1" applyFill="1" applyAlignment="1">
      <alignment vertical="center"/>
    </xf>
    <xf numFmtId="164" fontId="29" fillId="0" borderId="0" xfId="0" applyNumberFormat="1" applyFont="1" applyFill="1" applyAlignment="1">
      <alignment vertical="center"/>
    </xf>
    <xf numFmtId="4" fontId="119" fillId="0" borderId="0" xfId="101" applyNumberFormat="1" applyFont="1" applyBorder="1" applyAlignment="1" applyProtection="1">
      <alignment horizontal="right" vertical="top" shrinkToFit="1"/>
    </xf>
    <xf numFmtId="4" fontId="3" fillId="28" borderId="0" xfId="191" applyNumberFormat="1" applyFont="1" applyFill="1" applyBorder="1" applyAlignment="1">
      <alignment horizontal="right" vertical="top" shrinkToFit="1"/>
    </xf>
    <xf numFmtId="4" fontId="122" fillId="0" borderId="0" xfId="125" applyNumberFormat="1" applyFont="1" applyBorder="1" applyAlignment="1" applyProtection="1">
      <alignment horizontal="right" vertical="top" shrinkToFit="1"/>
    </xf>
    <xf numFmtId="4" fontId="123" fillId="0" borderId="0" xfId="101" applyNumberFormat="1" applyFont="1" applyBorder="1" applyAlignment="1" applyProtection="1">
      <alignment horizontal="right" vertical="top" shrinkToFit="1"/>
    </xf>
    <xf numFmtId="4" fontId="125" fillId="0" borderId="0" xfId="41" applyNumberFormat="1" applyFont="1" applyBorder="1" applyProtection="1">
      <alignment horizontal="right" vertical="top" shrinkToFit="1"/>
    </xf>
    <xf numFmtId="4" fontId="125"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67" borderId="0" xfId="0" applyNumberFormat="1" applyFont="1" applyFill="1" applyAlignment="1">
      <alignment vertical="center"/>
    </xf>
    <xf numFmtId="0" fontId="23" fillId="67" borderId="0" xfId="0" applyFont="1" applyFill="1" applyAlignment="1">
      <alignment vertical="center"/>
    </xf>
    <xf numFmtId="164" fontId="24" fillId="0" borderId="38" xfId="205"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5" applyFont="1" applyFill="1" applyBorder="1" applyAlignment="1">
      <alignment horizontal="center" vertical="center"/>
    </xf>
    <xf numFmtId="164" fontId="115" fillId="67" borderId="0" xfId="0" applyNumberFormat="1" applyFont="1" applyFill="1" applyAlignment="1">
      <alignment vertical="center"/>
    </xf>
    <xf numFmtId="164" fontId="24" fillId="69" borderId="0" xfId="0" applyNumberFormat="1" applyFont="1" applyFill="1" applyAlignment="1">
      <alignment vertical="center"/>
    </xf>
    <xf numFmtId="164" fontId="24" fillId="72" borderId="18" xfId="205" applyFont="1" applyFill="1" applyBorder="1" applyAlignment="1">
      <alignment horizontal="center"/>
    </xf>
    <xf numFmtId="164" fontId="24" fillId="72" borderId="27" xfId="205" applyFont="1" applyFill="1" applyBorder="1" applyAlignment="1">
      <alignment horizontal="center"/>
    </xf>
    <xf numFmtId="164" fontId="115" fillId="68" borderId="20" xfId="205" applyFont="1" applyFill="1" applyBorder="1" applyAlignment="1">
      <alignment horizontal="center"/>
    </xf>
    <xf numFmtId="166" fontId="130" fillId="0" borderId="0" xfId="205" applyNumberFormat="1" applyFont="1" applyFill="1"/>
    <xf numFmtId="0" fontId="131" fillId="0" borderId="0" xfId="0" applyFont="1" applyFill="1"/>
    <xf numFmtId="0" fontId="18" fillId="0" borderId="30" xfId="0" applyFont="1" applyFill="1" applyBorder="1" applyAlignment="1">
      <alignment vertical="center" wrapText="1"/>
    </xf>
    <xf numFmtId="0" fontId="18" fillId="0" borderId="44"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8" fillId="72" borderId="38" xfId="205" applyFont="1" applyFill="1" applyBorder="1" applyAlignment="1">
      <alignment horizontal="center" vertical="center" wrapText="1"/>
    </xf>
    <xf numFmtId="0" fontId="121" fillId="0" borderId="0" xfId="0" applyFont="1"/>
    <xf numFmtId="0" fontId="132" fillId="0" borderId="0" xfId="0" applyFont="1"/>
    <xf numFmtId="164" fontId="24" fillId="68" borderId="19" xfId="205" applyFont="1" applyFill="1" applyBorder="1" applyAlignment="1">
      <alignment horizontal="center"/>
    </xf>
    <xf numFmtId="164" fontId="24" fillId="68" borderId="28" xfId="205" applyFont="1" applyFill="1" applyBorder="1" applyAlignment="1">
      <alignment horizontal="center"/>
    </xf>
    <xf numFmtId="164" fontId="115" fillId="69" borderId="33" xfId="205" applyFont="1" applyFill="1" applyBorder="1" applyAlignment="1">
      <alignment horizontal="center"/>
    </xf>
    <xf numFmtId="164" fontId="115" fillId="0" borderId="49" xfId="205" applyFont="1" applyFill="1" applyBorder="1" applyAlignment="1">
      <alignment horizontal="center"/>
    </xf>
    <xf numFmtId="164" fontId="24" fillId="68" borderId="33" xfId="205" applyFont="1" applyFill="1" applyBorder="1" applyAlignment="1">
      <alignment horizontal="center" wrapText="1" shrinkToFit="1"/>
    </xf>
    <xf numFmtId="164" fontId="23" fillId="0" borderId="13" xfId="205" applyFont="1" applyFill="1" applyBorder="1" applyAlignment="1">
      <alignment horizontal="center" shrinkToFit="1"/>
    </xf>
    <xf numFmtId="164" fontId="23" fillId="0" borderId="48" xfId="205" applyFont="1" applyFill="1" applyBorder="1" applyAlignment="1">
      <alignment horizontal="center" shrinkToFit="1"/>
    </xf>
    <xf numFmtId="164" fontId="24" fillId="68" borderId="13" xfId="205" applyFont="1" applyFill="1" applyBorder="1" applyAlignment="1">
      <alignment horizontal="center" wrapText="1" shrinkToFit="1"/>
    </xf>
    <xf numFmtId="164" fontId="24" fillId="68" borderId="31" xfId="205" applyFont="1" applyFill="1" applyBorder="1" applyAlignment="1">
      <alignment horizontal="center" wrapText="1" shrinkToFit="1"/>
    </xf>
    <xf numFmtId="164" fontId="23" fillId="0" borderId="29" xfId="205" applyFont="1" applyFill="1" applyBorder="1" applyAlignment="1">
      <alignment horizontal="center" wrapText="1"/>
    </xf>
    <xf numFmtId="164" fontId="23" fillId="0" borderId="30" xfId="205" applyFont="1" applyFill="1" applyBorder="1" applyAlignment="1">
      <alignment horizontal="center" wrapText="1"/>
    </xf>
    <xf numFmtId="164" fontId="23" fillId="27" borderId="29" xfId="205" applyFont="1" applyFill="1" applyBorder="1" applyAlignment="1">
      <alignment horizontal="center" wrapText="1"/>
    </xf>
    <xf numFmtId="164" fontId="23" fillId="27" borderId="30" xfId="205" applyFont="1" applyFill="1" applyBorder="1" applyAlignment="1">
      <alignment horizontal="center" wrapText="1"/>
    </xf>
    <xf numFmtId="164" fontId="23" fillId="25" borderId="30" xfId="205" applyFont="1" applyFill="1" applyBorder="1" applyAlignment="1">
      <alignment horizontal="center" wrapText="1"/>
    </xf>
    <xf numFmtId="164" fontId="23" fillId="25" borderId="29" xfId="205" applyFont="1" applyFill="1" applyBorder="1" applyAlignment="1">
      <alignment horizontal="center" wrapText="1"/>
    </xf>
    <xf numFmtId="164" fontId="23" fillId="27" borderId="44" xfId="205" applyFont="1" applyFill="1" applyBorder="1" applyAlignment="1">
      <alignment horizontal="center" wrapText="1"/>
    </xf>
    <xf numFmtId="164" fontId="24" fillId="27" borderId="25" xfId="205" applyFont="1" applyFill="1" applyBorder="1" applyAlignment="1">
      <alignment horizontal="center" wrapText="1"/>
    </xf>
    <xf numFmtId="164" fontId="24" fillId="27" borderId="26" xfId="205" applyFont="1" applyFill="1" applyBorder="1" applyAlignment="1">
      <alignment horizontal="center" wrapText="1"/>
    </xf>
    <xf numFmtId="164" fontId="23" fillId="25" borderId="26" xfId="205" applyFont="1" applyFill="1" applyBorder="1" applyAlignment="1">
      <alignment horizontal="center" wrapText="1" shrinkToFit="1"/>
    </xf>
    <xf numFmtId="164" fontId="24" fillId="0" borderId="25" xfId="205" applyFont="1" applyFill="1" applyBorder="1" applyAlignment="1">
      <alignment horizontal="center" wrapText="1"/>
    </xf>
    <xf numFmtId="164" fontId="24" fillId="0" borderId="17" xfId="205" applyFont="1" applyFill="1" applyBorder="1" applyAlignment="1">
      <alignment horizontal="center" wrapText="1"/>
    </xf>
    <xf numFmtId="164" fontId="24" fillId="0" borderId="26" xfId="205" applyFont="1" applyFill="1" applyBorder="1" applyAlignment="1">
      <alignment horizontal="center" wrapText="1"/>
    </xf>
    <xf numFmtId="164" fontId="24" fillId="69" borderId="17" xfId="205" applyFont="1" applyFill="1" applyBorder="1" applyAlignment="1">
      <alignment horizontal="center" wrapText="1"/>
    </xf>
    <xf numFmtId="164" fontId="24" fillId="69" borderId="22" xfId="205" applyFont="1" applyFill="1" applyBorder="1" applyAlignment="1">
      <alignment horizontal="center" wrapText="1"/>
    </xf>
    <xf numFmtId="164" fontId="24" fillId="69" borderId="26" xfId="205" applyFont="1" applyFill="1" applyBorder="1" applyAlignment="1">
      <alignment horizontal="center" wrapText="1"/>
    </xf>
    <xf numFmtId="164" fontId="24" fillId="0" borderId="18" xfId="205" applyFont="1" applyFill="1" applyBorder="1" applyAlignment="1">
      <alignment horizontal="center" wrapText="1"/>
    </xf>
    <xf numFmtId="164" fontId="24" fillId="0" borderId="20" xfId="205" applyFont="1" applyFill="1" applyBorder="1" applyAlignment="1">
      <alignment horizontal="center" wrapText="1"/>
    </xf>
    <xf numFmtId="0" fontId="23" fillId="0"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38" xfId="0" applyFont="1" applyFill="1" applyBorder="1" applyAlignment="1">
      <alignment horizontal="center" vertical="center"/>
    </xf>
    <xf numFmtId="164" fontId="24" fillId="69" borderId="18" xfId="205" applyFont="1" applyFill="1" applyBorder="1" applyAlignment="1">
      <alignment horizontal="center"/>
    </xf>
    <xf numFmtId="164" fontId="24" fillId="69" borderId="27" xfId="205" applyFont="1" applyFill="1" applyBorder="1" applyAlignment="1">
      <alignment horizontal="center"/>
    </xf>
    <xf numFmtId="0" fontId="23" fillId="0" borderId="11" xfId="0" applyFont="1" applyFill="1" applyBorder="1" applyAlignment="1">
      <alignment horizontal="center" vertical="center" wrapText="1"/>
    </xf>
    <xf numFmtId="164" fontId="24" fillId="0" borderId="19" xfId="205" applyFont="1" applyFill="1" applyBorder="1" applyAlignment="1">
      <alignment horizontal="center"/>
    </xf>
    <xf numFmtId="164" fontId="24" fillId="0" borderId="28" xfId="205" applyFont="1" applyFill="1" applyBorder="1" applyAlignment="1">
      <alignment horizontal="center"/>
    </xf>
    <xf numFmtId="164" fontId="24" fillId="68" borderId="18" xfId="205" applyFont="1" applyFill="1" applyBorder="1" applyAlignment="1">
      <alignment horizontal="center"/>
    </xf>
    <xf numFmtId="164" fontId="24" fillId="68" borderId="27" xfId="205" applyFont="1" applyFill="1" applyBorder="1" applyAlignment="1">
      <alignment horizontal="center"/>
    </xf>
    <xf numFmtId="164" fontId="24" fillId="25" borderId="12" xfId="205" applyFont="1" applyFill="1" applyBorder="1" applyAlignment="1">
      <alignment horizontal="center"/>
    </xf>
    <xf numFmtId="164" fontId="24" fillId="25" borderId="11" xfId="205" applyFont="1" applyFill="1" applyBorder="1" applyAlignment="1">
      <alignment horizontal="center"/>
    </xf>
    <xf numFmtId="164" fontId="24" fillId="72" borderId="11" xfId="205" applyFont="1" applyFill="1" applyBorder="1" applyAlignment="1">
      <alignment horizontal="center"/>
    </xf>
    <xf numFmtId="164" fontId="115" fillId="72" borderId="11" xfId="205" applyFont="1" applyFill="1" applyBorder="1" applyAlignment="1">
      <alignment horizontal="center"/>
    </xf>
    <xf numFmtId="164" fontId="24" fillId="72" borderId="12" xfId="205" applyFont="1" applyFill="1" applyBorder="1" applyAlignment="1">
      <alignment horizontal="center"/>
    </xf>
    <xf numFmtId="0" fontId="4" fillId="68" borderId="15" xfId="0" applyFont="1" applyFill="1" applyBorder="1" applyAlignment="1">
      <alignment horizontal="center" vertical="center" wrapText="1"/>
    </xf>
    <xf numFmtId="164" fontId="24" fillId="25" borderId="29" xfId="205" applyFont="1" applyFill="1" applyBorder="1" applyAlignment="1">
      <alignment horizontal="center"/>
    </xf>
    <xf numFmtId="0" fontId="23" fillId="25" borderId="36" xfId="0" quotePrefix="1" applyFont="1" applyFill="1" applyBorder="1" applyAlignment="1">
      <alignment horizontal="center" vertical="center" wrapText="1"/>
    </xf>
    <xf numFmtId="164" fontId="7" fillId="0" borderId="38" xfId="205"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5" applyFont="1" applyFill="1" applyBorder="1" applyAlignment="1">
      <alignment horizontal="center" wrapText="1" shrinkToFit="1"/>
    </xf>
    <xf numFmtId="164" fontId="20" fillId="0" borderId="38" xfId="205" applyFont="1" applyFill="1" applyBorder="1" applyAlignment="1">
      <alignment horizontal="center" shrinkToFit="1"/>
    </xf>
    <xf numFmtId="164" fontId="20" fillId="0" borderId="38" xfId="205" applyFont="1" applyBorder="1" applyAlignment="1">
      <alignment horizontal="center" wrapText="1" shrinkToFit="1"/>
    </xf>
    <xf numFmtId="164" fontId="20" fillId="0" borderId="38" xfId="205" applyFont="1" applyBorder="1" applyAlignment="1">
      <alignment horizontal="center" shrinkToFit="1"/>
    </xf>
    <xf numFmtId="164" fontId="114" fillId="0" borderId="38" xfId="205" applyFont="1" applyFill="1" applyBorder="1" applyAlignment="1">
      <alignment horizontal="center" shrinkToFit="1"/>
    </xf>
    <xf numFmtId="164" fontId="20" fillId="0" borderId="40" xfId="205" applyFont="1" applyFill="1" applyBorder="1" applyAlignment="1">
      <alignment horizontal="center"/>
    </xf>
    <xf numFmtId="164" fontId="66" fillId="0" borderId="38" xfId="205" applyFont="1" applyBorder="1" applyAlignment="1">
      <alignment horizontal="center"/>
    </xf>
    <xf numFmtId="4" fontId="125" fillId="0" borderId="61" xfId="101" applyNumberFormat="1" applyFont="1" applyBorder="1" applyAlignment="1" applyProtection="1">
      <alignment horizontal="right" shrinkToFi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0" fontId="23" fillId="25" borderId="36" xfId="0" applyFont="1" applyFill="1" applyBorder="1" applyAlignment="1">
      <alignment horizontal="center" vertical="center" wrapText="1"/>
    </xf>
    <xf numFmtId="164" fontId="23" fillId="72" borderId="37" xfId="205" applyFont="1" applyFill="1" applyBorder="1" applyAlignment="1">
      <alignment horizontal="center"/>
    </xf>
    <xf numFmtId="3" fontId="23" fillId="25" borderId="14" xfId="0" applyNumberFormat="1" applyFont="1" applyFill="1" applyBorder="1" applyAlignment="1">
      <alignment horizontal="center" vertical="center" wrapText="1"/>
    </xf>
    <xf numFmtId="3" fontId="23" fillId="72" borderId="34" xfId="0" applyNumberFormat="1" applyFont="1" applyFill="1" applyBorder="1" applyAlignment="1">
      <alignment horizontal="center" vertical="center" wrapText="1"/>
    </xf>
    <xf numFmtId="164" fontId="31" fillId="0" borderId="40" xfId="205"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2" borderId="30" xfId="0" applyFont="1" applyFill="1" applyBorder="1" applyAlignment="1">
      <alignment horizontal="center" vertical="center" wrapText="1"/>
    </xf>
    <xf numFmtId="0" fontId="4" fillId="72" borderId="29" xfId="0" applyFont="1" applyFill="1" applyBorder="1" applyAlignment="1">
      <alignment horizontal="center" vertical="center" wrapText="1"/>
    </xf>
    <xf numFmtId="0" fontId="4" fillId="72" borderId="44" xfId="0" applyFont="1" applyFill="1" applyBorder="1" applyAlignment="1">
      <alignment horizontal="center" vertical="center" wrapText="1"/>
    </xf>
    <xf numFmtId="0" fontId="23" fillId="27" borderId="44" xfId="0" applyFont="1" applyFill="1" applyBorder="1" applyAlignment="1">
      <alignment horizontal="center" vertical="center" wrapText="1"/>
    </xf>
    <xf numFmtId="164" fontId="115" fillId="68" borderId="29" xfId="205" applyFont="1" applyFill="1" applyBorder="1" applyAlignment="1">
      <alignment horizontal="center"/>
    </xf>
    <xf numFmtId="164" fontId="115" fillId="72" borderId="44" xfId="205" applyFont="1" applyFill="1" applyBorder="1" applyAlignment="1">
      <alignment horizontal="center"/>
    </xf>
    <xf numFmtId="164" fontId="115" fillId="68" borderId="18" xfId="205" applyFont="1" applyFill="1" applyBorder="1" applyAlignment="1">
      <alignment horizontal="center"/>
    </xf>
    <xf numFmtId="164" fontId="115" fillId="68" borderId="27" xfId="205" applyFont="1" applyFill="1" applyBorder="1" applyAlignment="1">
      <alignment horizontal="center"/>
    </xf>
    <xf numFmtId="164" fontId="24" fillId="72" borderId="18" xfId="205" applyFont="1" applyFill="1" applyBorder="1" applyAlignment="1">
      <alignment horizontal="center" wrapText="1" shrinkToFit="1"/>
    </xf>
    <xf numFmtId="164" fontId="24" fillId="72" borderId="20" xfId="205" applyFont="1" applyFill="1" applyBorder="1" applyAlignment="1">
      <alignment horizontal="center" wrapText="1" shrinkToFit="1"/>
    </xf>
    <xf numFmtId="164" fontId="24" fillId="72" borderId="27" xfId="205" applyFont="1" applyFill="1" applyBorder="1" applyAlignment="1">
      <alignment horizontal="center" wrapText="1" shrinkToFit="1"/>
    </xf>
    <xf numFmtId="164" fontId="24" fillId="68" borderId="17" xfId="205" applyFont="1" applyFill="1" applyBorder="1" applyAlignment="1">
      <alignment horizontal="center" wrapText="1" shrinkToFit="1"/>
    </xf>
    <xf numFmtId="164" fontId="24" fillId="68" borderId="22" xfId="205" applyFont="1" applyFill="1" applyBorder="1" applyAlignment="1">
      <alignment horizontal="center" wrapText="1" shrinkToFit="1"/>
    </xf>
    <xf numFmtId="164" fontId="24" fillId="68" borderId="26" xfId="205" applyFont="1" applyFill="1" applyBorder="1" applyAlignment="1">
      <alignment horizontal="center" wrapText="1" shrinkToFit="1"/>
    </xf>
    <xf numFmtId="164"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164" fontId="23" fillId="0" borderId="17" xfId="205" applyFont="1" applyFill="1" applyBorder="1" applyAlignment="1">
      <alignment horizontal="center" wrapText="1" shrinkToFit="1"/>
    </xf>
    <xf numFmtId="0" fontId="0" fillId="0" borderId="45" xfId="0" applyBorder="1"/>
    <xf numFmtId="0" fontId="17" fillId="25" borderId="14" xfId="0" applyFont="1" applyFill="1" applyBorder="1" applyAlignment="1">
      <alignment horizontal="center" vertical="center"/>
    </xf>
    <xf numFmtId="0" fontId="4" fillId="0" borderId="0" xfId="0" applyFont="1" applyFill="1"/>
    <xf numFmtId="0" fontId="17" fillId="72" borderId="14" xfId="0" applyFont="1" applyFill="1" applyBorder="1" applyAlignment="1">
      <alignment horizontal="center" vertical="center"/>
    </xf>
    <xf numFmtId="164" fontId="24" fillId="72" borderId="33" xfId="205" applyFont="1" applyFill="1" applyBorder="1" applyAlignment="1">
      <alignment horizontal="center" wrapText="1" shrinkToFit="1"/>
    </xf>
    <xf numFmtId="164" fontId="24" fillId="72" borderId="31" xfId="205" applyFont="1" applyFill="1" applyBorder="1" applyAlignment="1">
      <alignment horizontal="center" wrapText="1" shrinkToFit="1"/>
    </xf>
    <xf numFmtId="164" fontId="115" fillId="0" borderId="19" xfId="205" applyFont="1" applyFill="1" applyBorder="1" applyAlignment="1">
      <alignment horizontal="center" shrinkToFit="1"/>
    </xf>
    <xf numFmtId="164" fontId="115" fillId="0" borderId="23" xfId="205" applyFont="1" applyFill="1" applyBorder="1" applyAlignment="1">
      <alignment horizontal="center" shrinkToFit="1"/>
    </xf>
    <xf numFmtId="164" fontId="115" fillId="0" borderId="28" xfId="205" applyFont="1" applyFill="1" applyBorder="1" applyAlignment="1">
      <alignment horizontal="center" shrinkToFit="1"/>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3" fillId="72" borderId="38" xfId="0" applyNumberFormat="1" applyFont="1" applyFill="1" applyBorder="1" applyAlignment="1">
      <alignment horizontal="center" vertical="center" wrapText="1"/>
    </xf>
    <xf numFmtId="0" fontId="63" fillId="72" borderId="38" xfId="0" applyFont="1" applyFill="1" applyBorder="1" applyAlignment="1">
      <alignment horizontal="center" vertical="center" wrapText="1"/>
    </xf>
    <xf numFmtId="165" fontId="62" fillId="0" borderId="0" xfId="205" applyNumberFormat="1" applyFont="1" applyAlignment="1">
      <alignment horizontal="center" vertical="center" wrapText="1"/>
    </xf>
    <xf numFmtId="164" fontId="134" fillId="0" borderId="0" xfId="0" applyNumberFormat="1" applyFont="1" applyAlignment="1">
      <alignment vertical="center"/>
    </xf>
    <xf numFmtId="164" fontId="115" fillId="72" borderId="16" xfId="205" applyFont="1" applyFill="1" applyBorder="1" applyAlignment="1">
      <alignment horizontal="center" wrapText="1" shrinkToFit="1"/>
    </xf>
    <xf numFmtId="164" fontId="115" fillId="72" borderId="20" xfId="205" applyFont="1" applyFill="1" applyBorder="1" applyAlignment="1">
      <alignment horizontal="center" wrapText="1" shrinkToFit="1"/>
    </xf>
    <xf numFmtId="164" fontId="115" fillId="72" borderId="21" xfId="205" applyFont="1" applyFill="1" applyBorder="1" applyAlignment="1">
      <alignment horizontal="center" wrapText="1" shrinkToFit="1"/>
    </xf>
    <xf numFmtId="164" fontId="115" fillId="72" borderId="25" xfId="205" applyFont="1" applyFill="1" applyBorder="1" applyAlignment="1">
      <alignment horizontal="center" wrapText="1" shrinkToFit="1"/>
    </xf>
    <xf numFmtId="49" fontId="32" fillId="74" borderId="38" xfId="0" applyNumberFormat="1" applyFont="1" applyFill="1" applyBorder="1" applyAlignment="1">
      <alignment horizontal="center" vertical="center" wrapText="1"/>
    </xf>
    <xf numFmtId="49" fontId="32" fillId="0"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49" fontId="32" fillId="75" borderId="41" xfId="0" applyNumberFormat="1" applyFont="1" applyFill="1" applyBorder="1" applyAlignment="1">
      <alignment horizontal="center" vertical="center" wrapText="1"/>
    </xf>
    <xf numFmtId="49" fontId="32" fillId="75" borderId="38" xfId="0" applyNumberFormat="1" applyFont="1" applyFill="1" applyBorder="1" applyAlignment="1">
      <alignment horizontal="center" vertical="center" wrapText="1"/>
    </xf>
    <xf numFmtId="0" fontId="23" fillId="71" borderId="12" xfId="0" applyFont="1" applyFill="1" applyBorder="1" applyAlignment="1">
      <alignment horizontal="center" vertical="center" wrapText="1"/>
    </xf>
    <xf numFmtId="164" fontId="115" fillId="72" borderId="17" xfId="205" applyFont="1" applyFill="1" applyBorder="1" applyAlignment="1">
      <alignment horizontal="center"/>
    </xf>
    <xf numFmtId="164" fontId="115" fillId="72" borderId="26" xfId="205" applyFont="1" applyFill="1" applyBorder="1" applyAlignment="1">
      <alignment horizontal="center"/>
    </xf>
    <xf numFmtId="0" fontId="23" fillId="0" borderId="15" xfId="0" applyFont="1" applyFill="1" applyBorder="1" applyAlignment="1">
      <alignment horizontal="center" vertical="center" wrapText="1"/>
    </xf>
    <xf numFmtId="3" fontId="23" fillId="72" borderId="14" xfId="0" applyNumberFormat="1" applyFont="1" applyFill="1" applyBorder="1" applyAlignment="1">
      <alignment horizontal="center" vertical="center" wrapText="1"/>
    </xf>
    <xf numFmtId="49" fontId="32" fillId="74"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164" fontId="23" fillId="25" borderId="18" xfId="205" applyFont="1" applyFill="1" applyBorder="1" applyAlignment="1">
      <alignment horizontal="center"/>
    </xf>
    <xf numFmtId="164" fontId="23" fillId="25" borderId="27" xfId="205"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0" fontId="4" fillId="72" borderId="24" xfId="0" applyFont="1" applyFill="1" applyBorder="1" applyAlignment="1">
      <alignment horizontal="center" vertical="center" wrapText="1"/>
    </xf>
    <xf numFmtId="164" fontId="23" fillId="72" borderId="13" xfId="205" applyFont="1" applyFill="1" applyBorder="1" applyAlignment="1">
      <alignment horizontal="center"/>
    </xf>
    <xf numFmtId="164" fontId="23" fillId="0" borderId="45" xfId="0" applyNumberFormat="1" applyFont="1" applyFill="1" applyBorder="1" applyAlignment="1">
      <alignment vertical="center"/>
    </xf>
    <xf numFmtId="166" fontId="7" fillId="0" borderId="38" xfId="205" applyNumberFormat="1" applyFont="1" applyBorder="1" applyAlignment="1">
      <alignment horizontal="center" vertical="center"/>
    </xf>
    <xf numFmtId="164" fontId="126" fillId="0" borderId="61" xfId="205" applyFont="1" applyFill="1" applyBorder="1" applyAlignment="1" applyProtection="1">
      <alignment horizontal="right" vertical="center" shrinkToFit="1"/>
    </xf>
    <xf numFmtId="164" fontId="36" fillId="0" borderId="38" xfId="205" applyNumberFormat="1" applyFont="1" applyFill="1" applyBorder="1" applyAlignment="1">
      <alignment horizontal="center" vertical="center"/>
    </xf>
    <xf numFmtId="0" fontId="131" fillId="0" borderId="0" xfId="0" applyFont="1" applyFill="1" applyAlignment="1">
      <alignment horizontal="center"/>
    </xf>
    <xf numFmtId="164" fontId="121"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40" xfId="0" applyFont="1" applyFill="1" applyBorder="1" applyAlignment="1">
      <alignment vertical="center" wrapText="1"/>
    </xf>
    <xf numFmtId="164" fontId="62" fillId="72" borderId="40" xfId="205"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23" fillId="0" borderId="47" xfId="0" applyFont="1" applyFill="1" applyBorder="1" applyAlignment="1">
      <alignment vertical="center"/>
    </xf>
    <xf numFmtId="0" fontId="23" fillId="0" borderId="34" xfId="0" applyFont="1" applyFill="1" applyBorder="1" applyAlignment="1">
      <alignment vertical="center"/>
    </xf>
    <xf numFmtId="4" fontId="129" fillId="0" borderId="83" xfId="101" applyNumberFormat="1" applyFont="1" applyBorder="1" applyAlignment="1" applyProtection="1">
      <alignment horizontal="right" vertical="top" shrinkToFit="1"/>
    </xf>
    <xf numFmtId="164" fontId="24" fillId="72" borderId="15" xfId="205" applyFont="1" applyFill="1" applyBorder="1" applyAlignment="1">
      <alignment horizontal="center"/>
    </xf>
    <xf numFmtId="164" fontId="23" fillId="72" borderId="27" xfId="205" applyFont="1" applyFill="1" applyBorder="1" applyAlignment="1">
      <alignment horizontal="center"/>
    </xf>
    <xf numFmtId="171" fontId="20" fillId="0" borderId="38" xfId="0" applyNumberFormat="1" applyFont="1" applyFill="1" applyBorder="1" applyAlignment="1">
      <alignment horizontal="center"/>
    </xf>
    <xf numFmtId="171" fontId="20" fillId="0" borderId="38" xfId="205" applyNumberFormat="1" applyFont="1" applyFill="1" applyBorder="1" applyAlignment="1">
      <alignment horizontal="center"/>
    </xf>
    <xf numFmtId="0" fontId="29" fillId="0" borderId="0" xfId="0" applyFont="1" applyFill="1" applyAlignment="1">
      <alignment horizontal="right"/>
    </xf>
    <xf numFmtId="171" fontId="30" fillId="0" borderId="38" xfId="0" applyNumberFormat="1" applyFont="1" applyFill="1" applyBorder="1"/>
    <xf numFmtId="0" fontId="34" fillId="0" borderId="0" xfId="0" applyFont="1" applyFill="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166" fontId="115" fillId="0" borderId="38" xfId="0" applyNumberFormat="1" applyFont="1" applyFill="1" applyBorder="1" applyAlignment="1">
      <alignment vertical="center"/>
    </xf>
    <xf numFmtId="172" fontId="30" fillId="68" borderId="38" xfId="0" applyNumberFormat="1" applyFont="1" applyFill="1" applyBorder="1"/>
    <xf numFmtId="172" fontId="30" fillId="0" borderId="38" xfId="205" applyNumberFormat="1" applyFont="1" applyFill="1" applyBorder="1"/>
    <xf numFmtId="172" fontId="0" fillId="0" borderId="0" xfId="0" applyNumberForma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2" fontId="135" fillId="0" borderId="0" xfId="0" applyNumberFormat="1" applyFont="1" applyFill="1"/>
    <xf numFmtId="172" fontId="130" fillId="68" borderId="0" xfId="0" applyNumberFormat="1" applyFont="1" applyFill="1"/>
    <xf numFmtId="4" fontId="136" fillId="50" borderId="61" xfId="42" applyNumberFormat="1" applyFont="1" applyProtection="1">
      <alignment horizontal="right" vertical="top" wrapText="1" shrinkToFit="1"/>
    </xf>
    <xf numFmtId="164" fontId="23" fillId="0" borderId="47" xfId="205" applyFont="1" applyFill="1" applyBorder="1" applyAlignment="1">
      <alignment horizontal="center" wrapText="1"/>
    </xf>
    <xf numFmtId="164" fontId="24" fillId="0" borderId="53" xfId="205" applyFont="1" applyFill="1" applyBorder="1" applyAlignment="1">
      <alignment horizontal="center" wrapText="1"/>
    </xf>
    <xf numFmtId="164" fontId="24" fillId="0" borderId="50" xfId="205" applyFont="1" applyFill="1" applyBorder="1" applyAlignment="1">
      <alignment horizontal="center" wrapText="1"/>
    </xf>
    <xf numFmtId="164" fontId="24" fillId="69" borderId="50" xfId="205" applyFont="1" applyFill="1" applyBorder="1" applyAlignment="1">
      <alignment horizontal="center" wrapText="1"/>
    </xf>
    <xf numFmtId="164" fontId="24" fillId="0" borderId="35" xfId="205" applyFont="1" applyFill="1" applyBorder="1" applyAlignment="1">
      <alignment horizontal="center" wrapText="1"/>
    </xf>
    <xf numFmtId="164" fontId="23" fillId="0" borderId="36" xfId="205" applyFont="1" applyFill="1" applyBorder="1" applyAlignment="1">
      <alignment horizontal="center" wrapText="1"/>
    </xf>
    <xf numFmtId="164" fontId="23" fillId="0" borderId="34" xfId="205" applyFont="1" applyFill="1" applyBorder="1" applyAlignment="1">
      <alignment horizontal="center" wrapText="1"/>
    </xf>
    <xf numFmtId="164" fontId="115" fillId="0" borderId="0" xfId="0" applyNumberFormat="1" applyFont="1" applyAlignment="1">
      <alignment horizontal="center" vertical="center"/>
    </xf>
    <xf numFmtId="0" fontId="68" fillId="0" borderId="0" xfId="0" applyFont="1" applyFill="1" applyAlignment="1">
      <alignment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17" fillId="0" borderId="34" xfId="0" applyFont="1" applyFill="1" applyBorder="1" applyAlignment="1">
      <alignment vertical="center" wrapText="1"/>
    </xf>
    <xf numFmtId="0" fontId="17" fillId="0" borderId="47" xfId="0" applyFont="1" applyFill="1" applyBorder="1" applyAlignment="1">
      <alignment vertical="center" wrapText="1"/>
    </xf>
    <xf numFmtId="0" fontId="23" fillId="72" borderId="15" xfId="0" applyFont="1" applyFill="1" applyBorder="1" applyAlignment="1">
      <alignment horizontal="center" vertical="center" wrapText="1"/>
    </xf>
    <xf numFmtId="164" fontId="115" fillId="68" borderId="11" xfId="205" applyFont="1" applyFill="1" applyBorder="1" applyAlignment="1">
      <alignment horizontal="center"/>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164" fontId="115" fillId="68" borderId="19" xfId="205" applyFont="1" applyFill="1" applyBorder="1" applyAlignment="1">
      <alignment horizontal="center"/>
    </xf>
    <xf numFmtId="164" fontId="115" fillId="68" borderId="23" xfId="205" applyFont="1" applyFill="1" applyBorder="1" applyAlignment="1">
      <alignment horizontal="center"/>
    </xf>
    <xf numFmtId="164" fontId="115" fillId="68" borderId="28" xfId="205" applyFont="1" applyFill="1" applyBorder="1" applyAlignment="1">
      <alignment horizontal="center"/>
    </xf>
    <xf numFmtId="0" fontId="23" fillId="68" borderId="1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164" fontId="29" fillId="0" borderId="38" xfId="205" quotePrefix="1" applyFont="1" applyFill="1" applyBorder="1" applyAlignment="1">
      <alignment horizontal="center" vertical="center"/>
    </xf>
    <xf numFmtId="3" fontId="23" fillId="72" borderId="15" xfId="0" applyNumberFormat="1" applyFont="1" applyFill="1" applyBorder="1" applyAlignment="1">
      <alignment horizontal="center" vertical="center"/>
    </xf>
    <xf numFmtId="164" fontId="24" fillId="68" borderId="19" xfId="205" applyFont="1" applyFill="1" applyBorder="1" applyAlignment="1">
      <alignment horizontal="center" wrapText="1" shrinkToFit="1"/>
    </xf>
    <xf numFmtId="164" fontId="24" fillId="68" borderId="23" xfId="205" applyFont="1" applyFill="1" applyBorder="1" applyAlignment="1">
      <alignment horizontal="center" wrapText="1" shrinkToFit="1"/>
    </xf>
    <xf numFmtId="164" fontId="24" fillId="68" borderId="28" xfId="205" applyFont="1" applyFill="1" applyBorder="1" applyAlignment="1">
      <alignment horizontal="center" wrapText="1" shrinkToFit="1"/>
    </xf>
    <xf numFmtId="164" fontId="115" fillId="68" borderId="21" xfId="205" applyFont="1" applyFill="1" applyBorder="1" applyAlignment="1">
      <alignment horizontal="center" wrapText="1" shrinkToFit="1"/>
    </xf>
    <xf numFmtId="164" fontId="24" fillId="68" borderId="27" xfId="205" applyFont="1" applyFill="1" applyBorder="1" applyAlignment="1">
      <alignment horizontal="center" wrapText="1" shrinkToFit="1"/>
    </xf>
    <xf numFmtId="164" fontId="115" fillId="68" borderId="19" xfId="205" applyFont="1" applyFill="1" applyBorder="1" applyAlignment="1">
      <alignment horizontal="center" wrapText="1" shrinkToFit="1"/>
    </xf>
    <xf numFmtId="164" fontId="115" fillId="68" borderId="23" xfId="205" applyFont="1" applyFill="1" applyBorder="1" applyAlignment="1">
      <alignment horizontal="center" wrapText="1" shrinkToFit="1"/>
    </xf>
    <xf numFmtId="164" fontId="115" fillId="68" borderId="28" xfId="205" applyFont="1" applyFill="1" applyBorder="1" applyAlignment="1">
      <alignment horizontal="center" wrapText="1" shrinkToFit="1"/>
    </xf>
    <xf numFmtId="164" fontId="24" fillId="0" borderId="38" xfId="205" applyNumberFormat="1" applyFont="1" applyFill="1" applyBorder="1" applyAlignment="1">
      <alignment horizontal="right" vertical="center" wrapText="1" shrinkToFit="1"/>
    </xf>
    <xf numFmtId="164" fontId="139" fillId="0" borderId="16" xfId="205" applyFont="1" applyBorder="1" applyAlignment="1" applyProtection="1">
      <alignment horizontal="center" shrinkToFit="1"/>
    </xf>
    <xf numFmtId="164" fontId="139" fillId="0" borderId="21" xfId="205" applyFont="1" applyBorder="1" applyAlignment="1" applyProtection="1">
      <alignment horizontal="center" shrinkToFit="1"/>
    </xf>
    <xf numFmtId="164" fontId="139" fillId="0" borderId="25" xfId="205" applyFont="1" applyBorder="1" applyAlignment="1" applyProtection="1">
      <alignment horizontal="center" shrinkToFit="1"/>
    </xf>
    <xf numFmtId="164" fontId="115" fillId="0" borderId="0" xfId="205" applyFont="1" applyFill="1" applyAlignment="1">
      <alignment vertical="center"/>
    </xf>
    <xf numFmtId="3" fontId="23" fillId="68" borderId="14" xfId="0" applyNumberFormat="1" applyFont="1" applyFill="1" applyBorder="1" applyAlignment="1">
      <alignment horizontal="center" vertical="center" wrapText="1"/>
    </xf>
    <xf numFmtId="164" fontId="115" fillId="69" borderId="16" xfId="205" applyFont="1" applyFill="1" applyBorder="1" applyAlignment="1">
      <alignment horizontal="center"/>
    </xf>
    <xf numFmtId="164" fontId="115" fillId="69" borderId="21" xfId="205" applyFont="1" applyFill="1" applyBorder="1" applyAlignment="1">
      <alignment horizontal="center"/>
    </xf>
    <xf numFmtId="164" fontId="115" fillId="69" borderId="25" xfId="205" applyFont="1" applyFill="1" applyBorder="1" applyAlignment="1">
      <alignment horizontal="center"/>
    </xf>
    <xf numFmtId="4" fontId="129" fillId="0" borderId="61" xfId="104" applyNumberFormat="1" applyFont="1" applyBorder="1" applyAlignment="1" applyProtection="1">
      <alignment horizontal="right" vertical="top" shrinkToFit="1"/>
    </xf>
    <xf numFmtId="49" fontId="32" fillId="0" borderId="38" xfId="0" applyNumberFormat="1" applyFont="1" applyBorder="1" applyAlignment="1">
      <alignment horizontal="center" vertical="center" wrapText="1"/>
    </xf>
    <xf numFmtId="0" fontId="18" fillId="0" borderId="34"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30" fillId="0" borderId="0" xfId="0" applyNumberFormat="1" applyFont="1"/>
    <xf numFmtId="0" fontId="8" fillId="27" borderId="13" xfId="0" applyFont="1" applyFill="1" applyBorder="1" applyAlignment="1">
      <alignment horizontal="center" vertical="center" wrapText="1"/>
    </xf>
    <xf numFmtId="166" fontId="130" fillId="0" borderId="0" xfId="0" applyNumberFormat="1" applyFont="1"/>
    <xf numFmtId="49" fontId="32" fillId="0" borderId="38" xfId="0" applyNumberFormat="1" applyFont="1" applyBorder="1" applyAlignment="1">
      <alignment horizontal="center" vertical="center" wrapText="1"/>
    </xf>
    <xf numFmtId="164" fontId="24" fillId="69" borderId="17" xfId="205" applyFont="1" applyFill="1" applyBorder="1" applyAlignment="1">
      <alignment horizontal="center"/>
    </xf>
    <xf numFmtId="164" fontId="23" fillId="0" borderId="16" xfId="205" applyFont="1" applyFill="1" applyBorder="1" applyAlignment="1">
      <alignment horizontal="center" wrapText="1" shrinkToFit="1"/>
    </xf>
    <xf numFmtId="164" fontId="23" fillId="0" borderId="25" xfId="205" applyFont="1" applyFill="1" applyBorder="1" applyAlignment="1">
      <alignment horizontal="center" wrapText="1" shrinkToFit="1"/>
    </xf>
    <xf numFmtId="164" fontId="24" fillId="69" borderId="26" xfId="205" applyFont="1" applyFill="1" applyBorder="1" applyAlignment="1">
      <alignment horizontal="center"/>
    </xf>
    <xf numFmtId="164" fontId="23" fillId="69" borderId="21" xfId="205" applyFont="1" applyFill="1" applyBorder="1" applyAlignment="1">
      <alignment horizontal="center" wrapText="1" shrinkToFit="1"/>
    </xf>
    <xf numFmtId="0" fontId="32" fillId="0" borderId="38" xfId="0" applyFont="1" applyFill="1" applyBorder="1" applyAlignment="1">
      <alignment horizontal="left" wrapText="1"/>
    </xf>
    <xf numFmtId="164" fontId="24" fillId="0" borderId="19" xfId="205" applyFont="1" applyFill="1" applyBorder="1" applyAlignment="1">
      <alignment horizontal="center" wrapText="1" shrinkToFit="1"/>
    </xf>
    <xf numFmtId="164" fontId="24" fillId="0" borderId="49" xfId="205" applyFont="1" applyFill="1" applyBorder="1" applyAlignment="1">
      <alignment horizontal="center" wrapText="1" shrinkToFit="1"/>
    </xf>
    <xf numFmtId="0" fontId="23" fillId="27" borderId="12" xfId="0" applyFont="1" applyFill="1" applyBorder="1" applyAlignment="1">
      <alignment horizontal="center" vertical="center"/>
    </xf>
    <xf numFmtId="164" fontId="115" fillId="27" borderId="17" xfId="205" applyFont="1" applyFill="1" applyBorder="1" applyAlignment="1">
      <alignment horizontal="center"/>
    </xf>
    <xf numFmtId="164" fontId="115" fillId="27" borderId="22" xfId="205" applyFont="1" applyFill="1" applyBorder="1" applyAlignment="1">
      <alignment horizontal="center"/>
    </xf>
    <xf numFmtId="164" fontId="115" fillId="27" borderId="26" xfId="205" applyFont="1" applyFill="1" applyBorder="1" applyAlignment="1">
      <alignment horizontal="center"/>
    </xf>
    <xf numFmtId="164" fontId="23" fillId="68" borderId="18" xfId="205" applyFont="1" applyFill="1" applyBorder="1" applyAlignment="1">
      <alignment horizontal="center" wrapText="1" shrinkToFit="1"/>
    </xf>
    <xf numFmtId="164" fontId="23" fillId="68" borderId="20" xfId="205" applyFont="1" applyFill="1" applyBorder="1" applyAlignment="1">
      <alignment horizontal="center" wrapText="1" shrinkToFit="1"/>
    </xf>
    <xf numFmtId="164" fontId="23" fillId="68" borderId="27" xfId="205" applyFont="1" applyFill="1" applyBorder="1" applyAlignment="1">
      <alignment horizontal="center" wrapText="1" shrinkToFit="1"/>
    </xf>
    <xf numFmtId="164" fontId="115" fillId="72" borderId="17" xfId="205" applyFont="1" applyFill="1" applyBorder="1" applyAlignment="1">
      <alignment horizontal="center" wrapText="1" shrinkToFit="1"/>
    </xf>
    <xf numFmtId="164" fontId="115" fillId="72" borderId="22" xfId="205" applyFont="1" applyFill="1" applyBorder="1" applyAlignment="1">
      <alignment horizontal="center" wrapText="1" shrinkToFit="1"/>
    </xf>
    <xf numFmtId="164" fontId="115" fillId="72" borderId="26" xfId="205" applyFont="1" applyFill="1" applyBorder="1" applyAlignment="1">
      <alignment horizontal="center" wrapText="1" shrinkToFit="1"/>
    </xf>
    <xf numFmtId="0" fontId="23" fillId="0" borderId="29" xfId="0" applyFont="1" applyFill="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69" borderId="36" xfId="0" applyFont="1" applyFill="1" applyBorder="1" applyAlignment="1">
      <alignment horizontal="center" vertical="center" wrapText="1"/>
    </xf>
    <xf numFmtId="0" fontId="23" fillId="0" borderId="34" xfId="0" applyFont="1" applyFill="1" applyBorder="1" applyAlignment="1">
      <alignment vertical="center"/>
    </xf>
    <xf numFmtId="49" fontId="32" fillId="29" borderId="41" xfId="0" applyNumberFormat="1" applyFont="1" applyFill="1" applyBorder="1" applyAlignment="1">
      <alignment horizontal="center" vertical="center" wrapText="1"/>
    </xf>
    <xf numFmtId="4" fontId="121" fillId="0" borderId="0" xfId="116" applyNumberFormat="1" applyFont="1" applyBorder="1" applyAlignment="1" applyProtection="1">
      <alignment horizontal="right" vertical="top" shrinkToFit="1"/>
    </xf>
    <xf numFmtId="164" fontId="23" fillId="0" borderId="48" xfId="205" applyFont="1" applyFill="1" applyBorder="1" applyAlignment="1">
      <alignment horizontal="center"/>
    </xf>
    <xf numFmtId="164" fontId="24" fillId="25" borderId="15" xfId="205" applyFont="1" applyFill="1" applyBorder="1" applyAlignment="1">
      <alignment horizontal="center"/>
    </xf>
    <xf numFmtId="0" fontId="23" fillId="68" borderId="43" xfId="0" applyFont="1" applyFill="1" applyBorder="1" applyAlignment="1">
      <alignment horizontal="center" vertical="center" wrapText="1"/>
    </xf>
    <xf numFmtId="164" fontId="24" fillId="25" borderId="19" xfId="205" applyFont="1" applyFill="1" applyBorder="1" applyAlignment="1">
      <alignment horizontal="center"/>
    </xf>
    <xf numFmtId="164" fontId="24" fillId="25" borderId="28" xfId="205" applyFont="1" applyFill="1" applyBorder="1" applyAlignment="1">
      <alignment horizontal="center"/>
    </xf>
    <xf numFmtId="164" fontId="115" fillId="68" borderId="37" xfId="205" applyFont="1" applyFill="1" applyBorder="1" applyAlignment="1">
      <alignment horizontal="center"/>
    </xf>
    <xf numFmtId="164" fontId="23" fillId="72" borderId="36" xfId="205" applyFont="1" applyFill="1" applyBorder="1" applyAlignment="1">
      <alignment horizontal="center"/>
    </xf>
    <xf numFmtId="164" fontId="24" fillId="0" borderId="23" xfId="205" applyFont="1" applyFill="1" applyBorder="1" applyAlignment="1">
      <alignment horizontal="center" wrapText="1"/>
    </xf>
    <xf numFmtId="4" fontId="3" fillId="0" borderId="46" xfId="191" applyNumberFormat="1" applyFont="1" applyFill="1" applyBorder="1" applyAlignment="1">
      <alignment horizontal="right" vertical="top" shrinkToFit="1"/>
    </xf>
    <xf numFmtId="4" fontId="3" fillId="0" borderId="0" xfId="191" applyNumberFormat="1" applyFont="1" applyFill="1" applyBorder="1" applyAlignment="1">
      <alignment horizontal="right" vertical="top" shrinkToFit="1"/>
    </xf>
    <xf numFmtId="49" fontId="32" fillId="0" borderId="38" xfId="0" applyNumberFormat="1" applyFont="1" applyBorder="1" applyAlignment="1">
      <alignment horizontal="center" vertical="center" wrapText="1"/>
    </xf>
    <xf numFmtId="4" fontId="117" fillId="0" borderId="38" xfId="40" applyFont="1" applyFill="1" applyBorder="1" applyProtection="1">
      <alignment horizontal="right" shrinkToFit="1"/>
    </xf>
    <xf numFmtId="4" fontId="120" fillId="0" borderId="0" xfId="116" applyNumberFormat="1" applyFont="1" applyBorder="1" applyAlignment="1" applyProtection="1">
      <alignment horizontal="right" shrinkToFit="1"/>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8" fillId="0" borderId="47" xfId="0" applyFont="1" applyFill="1" applyBorder="1" applyAlignment="1">
      <alignment vertical="center" wrapText="1"/>
    </xf>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0" fontId="23" fillId="0" borderId="11" xfId="0" applyFont="1" applyFill="1" applyBorder="1" applyAlignment="1">
      <alignment horizontal="center" vertical="center" wrapText="1"/>
    </xf>
    <xf numFmtId="0" fontId="23" fillId="68" borderId="34" xfId="0" applyFont="1" applyFill="1" applyBorder="1" applyAlignment="1">
      <alignment horizontal="center" vertical="center"/>
    </xf>
    <xf numFmtId="4" fontId="128" fillId="0" borderId="61" xfId="101" applyNumberFormat="1" applyFont="1" applyBorder="1" applyAlignment="1" applyProtection="1">
      <alignment horizontal="right" shrinkToFit="1"/>
    </xf>
    <xf numFmtId="4" fontId="129" fillId="0" borderId="91" xfId="101" applyNumberFormat="1" applyFont="1" applyBorder="1" applyAlignment="1" applyProtection="1">
      <alignment horizontal="right" vertical="top" shrinkToFit="1"/>
    </xf>
    <xf numFmtId="4" fontId="75" fillId="0" borderId="38" xfId="208" applyBorder="1" applyProtection="1">
      <alignment horizontal="right" vertical="top" shrinkToFit="1"/>
    </xf>
    <xf numFmtId="4" fontId="129" fillId="0" borderId="65" xfId="101" applyNumberFormat="1" applyFont="1" applyBorder="1" applyAlignment="1" applyProtection="1">
      <alignment horizontal="right" vertical="top" shrinkToFit="1"/>
    </xf>
    <xf numFmtId="4" fontId="140" fillId="77" borderId="60" xfId="210" applyNumberFormat="1" applyProtection="1">
      <alignment horizontal="right" vertical="top" shrinkToFit="1"/>
    </xf>
    <xf numFmtId="164" fontId="115" fillId="0" borderId="0" xfId="205" applyFont="1" applyFill="1" applyBorder="1" applyAlignment="1">
      <alignment horizontal="right" vertical="top" shrinkToFit="1"/>
    </xf>
    <xf numFmtId="4" fontId="137" fillId="68" borderId="92" xfId="101" applyNumberFormat="1" applyFont="1" applyFill="1" applyBorder="1" applyAlignment="1" applyProtection="1">
      <alignment horizontal="right" vertical="top" shrinkToFit="1"/>
    </xf>
    <xf numFmtId="167" fontId="31" fillId="0" borderId="40" xfId="0" applyNumberFormat="1" applyFont="1" applyBorder="1" applyAlignment="1">
      <alignment vertical="center"/>
    </xf>
    <xf numFmtId="167" fontId="31" fillId="0" borderId="0" xfId="205" applyNumberFormat="1" applyFont="1" applyBorder="1" applyAlignment="1">
      <alignment horizontal="center" vertical="center"/>
    </xf>
    <xf numFmtId="0" fontId="29" fillId="0" borderId="38" xfId="0" applyFont="1" applyFill="1" applyBorder="1" applyAlignment="1">
      <alignment horizontal="center"/>
    </xf>
    <xf numFmtId="164" fontId="30" fillId="0" borderId="38" xfId="205" applyFont="1" applyFill="1" applyBorder="1" applyAlignment="1">
      <alignment horizontal="center"/>
    </xf>
    <xf numFmtId="164" fontId="30" fillId="69" borderId="38" xfId="205" applyFont="1" applyFill="1" applyBorder="1" applyAlignment="1">
      <alignment horizontal="center"/>
    </xf>
    <xf numFmtId="164" fontId="30" fillId="27" borderId="38" xfId="205" applyFont="1" applyFill="1" applyBorder="1" applyAlignment="1">
      <alignment horizontal="center"/>
    </xf>
    <xf numFmtId="164" fontId="30" fillId="69" borderId="38" xfId="205" applyFont="1" applyFill="1" applyBorder="1" applyAlignment="1">
      <alignment horizontal="center" wrapText="1" shrinkToFit="1"/>
    </xf>
    <xf numFmtId="164" fontId="114" fillId="27" borderId="38" xfId="205" applyFont="1" applyFill="1" applyBorder="1" applyAlignment="1">
      <alignment horizontal="center"/>
    </xf>
    <xf numFmtId="164" fontId="20" fillId="27" borderId="38" xfId="205" applyFont="1" applyFill="1" applyBorder="1" applyAlignment="1">
      <alignment horizontal="center"/>
    </xf>
    <xf numFmtId="0" fontId="29" fillId="0" borderId="0" xfId="0" applyFont="1" applyAlignment="1">
      <alignment horizontal="center"/>
    </xf>
    <xf numFmtId="164" fontId="20" fillId="69" borderId="40" xfId="205" applyFont="1" applyFill="1" applyBorder="1" applyAlignment="1">
      <alignment horizontal="center"/>
    </xf>
    <xf numFmtId="164" fontId="20" fillId="27" borderId="40" xfId="205" applyFont="1" applyFill="1" applyBorder="1" applyAlignment="1">
      <alignment horizontal="center"/>
    </xf>
    <xf numFmtId="0" fontId="29" fillId="0" borderId="0" xfId="0" applyFont="1" applyFill="1" applyAlignment="1">
      <alignment horizontal="center"/>
    </xf>
    <xf numFmtId="0" fontId="29" fillId="0" borderId="0" xfId="0" applyFont="1" applyFill="1" applyBorder="1" applyAlignment="1">
      <alignment horizontal="center"/>
    </xf>
    <xf numFmtId="164" fontId="30" fillId="0" borderId="0" xfId="205" applyFont="1" applyFill="1" applyBorder="1" applyAlignment="1">
      <alignment horizontal="center"/>
    </xf>
    <xf numFmtId="164" fontId="20" fillId="0" borderId="0" xfId="205" applyFont="1" applyFill="1" applyBorder="1" applyAlignment="1">
      <alignment horizontal="center"/>
    </xf>
    <xf numFmtId="164" fontId="12" fillId="0" borderId="0" xfId="0" applyNumberFormat="1" applyFont="1" applyFill="1" applyAlignment="1">
      <alignment horizontal="center"/>
    </xf>
    <xf numFmtId="164" fontId="20" fillId="0" borderId="0" xfId="205" applyFont="1" applyBorder="1" applyAlignment="1">
      <alignment horizontal="center" shrinkToFit="1"/>
    </xf>
    <xf numFmtId="4" fontId="20" fillId="0" borderId="0" xfId="192" applyNumberFormat="1" applyFont="1" applyBorder="1" applyAlignment="1">
      <alignment horizontal="center" shrinkToFit="1"/>
    </xf>
    <xf numFmtId="164" fontId="20" fillId="0" borderId="0" xfId="205" applyFont="1" applyFill="1" applyBorder="1" applyAlignment="1">
      <alignment horizontal="center" shrinkToFit="1"/>
    </xf>
    <xf numFmtId="4" fontId="20" fillId="0" borderId="0" xfId="192" applyNumberFormat="1" applyFont="1" applyFill="1" applyBorder="1" applyAlignment="1">
      <alignment horizontal="center" shrinkToFit="1"/>
    </xf>
    <xf numFmtId="164" fontId="30" fillId="76" borderId="38" xfId="205" applyFont="1" applyFill="1" applyBorder="1" applyAlignment="1">
      <alignment horizontal="center"/>
    </xf>
    <xf numFmtId="164" fontId="114" fillId="0" borderId="0" xfId="205" applyFont="1" applyFill="1" applyBorder="1" applyAlignment="1">
      <alignment horizontal="center"/>
    </xf>
    <xf numFmtId="0" fontId="29" fillId="0" borderId="38" xfId="0" applyFont="1" applyFill="1" applyBorder="1" applyAlignment="1">
      <alignment horizontal="left"/>
    </xf>
    <xf numFmtId="0" fontId="29" fillId="0" borderId="39" xfId="0" applyFont="1" applyFill="1" applyBorder="1" applyAlignment="1">
      <alignment horizontal="left"/>
    </xf>
    <xf numFmtId="164" fontId="114" fillId="0" borderId="38" xfId="205" applyFont="1" applyFill="1" applyBorder="1" applyAlignment="1">
      <alignment horizontal="center" wrapText="1" shrinkToFit="1"/>
    </xf>
    <xf numFmtId="0" fontId="20" fillId="0" borderId="0" xfId="0" applyFont="1" applyFill="1" applyAlignment="1">
      <alignment horizontal="center"/>
    </xf>
    <xf numFmtId="0" fontId="20" fillId="0" borderId="0" xfId="0" applyFont="1" applyAlignment="1">
      <alignment horizontal="center"/>
    </xf>
    <xf numFmtId="164" fontId="20" fillId="0" borderId="38" xfId="205" applyFont="1" applyFill="1" applyBorder="1" applyAlignment="1">
      <alignment horizontal="center" wrapText="1" shrinkToFit="1"/>
    </xf>
    <xf numFmtId="164" fontId="30" fillId="0" borderId="40" xfId="205" applyFont="1" applyFill="1" applyBorder="1" applyAlignment="1">
      <alignment horizontal="center"/>
    </xf>
    <xf numFmtId="164" fontId="30" fillId="0" borderId="38" xfId="205" applyFont="1" applyBorder="1" applyAlignment="1">
      <alignment horizontal="center" wrapText="1" shrinkToFit="1"/>
    </xf>
    <xf numFmtId="164" fontId="20" fillId="0" borderId="38" xfId="205" applyFont="1" applyFill="1" applyBorder="1" applyAlignment="1">
      <alignment horizontal="center"/>
    </xf>
    <xf numFmtId="164" fontId="30" fillId="0" borderId="0" xfId="205" applyFont="1" applyAlignment="1">
      <alignment horizontal="center"/>
    </xf>
    <xf numFmtId="164" fontId="20" fillId="0" borderId="0" xfId="205" applyFont="1" applyFill="1" applyAlignment="1">
      <alignment horizontal="center"/>
    </xf>
    <xf numFmtId="164" fontId="66" fillId="0" borderId="0" xfId="205" applyFont="1" applyFill="1" applyAlignment="1">
      <alignment horizontal="center"/>
    </xf>
    <xf numFmtId="164" fontId="20" fillId="0" borderId="0" xfId="205" applyFont="1" applyAlignment="1">
      <alignment horizontal="center"/>
    </xf>
    <xf numFmtId="164" fontId="66" fillId="0" borderId="0" xfId="205" applyFont="1" applyAlignment="1">
      <alignment horizontal="center"/>
    </xf>
    <xf numFmtId="0" fontId="20" fillId="0" borderId="38" xfId="0" applyFont="1" applyBorder="1" applyAlignment="1">
      <alignment horizontal="center" wrapText="1"/>
    </xf>
    <xf numFmtId="164" fontId="30" fillId="0" borderId="38" xfId="205" applyFont="1" applyBorder="1" applyAlignment="1">
      <alignment horizontal="center"/>
    </xf>
    <xf numFmtId="164" fontId="20" fillId="0" borderId="38" xfId="205" applyFont="1" applyBorder="1" applyAlignment="1">
      <alignment horizontal="center"/>
    </xf>
    <xf numFmtId="0" fontId="20" fillId="0" borderId="38" xfId="0" applyFont="1" applyFill="1" applyBorder="1" applyAlignment="1">
      <alignment horizontal="center" wrapText="1"/>
    </xf>
    <xf numFmtId="0" fontId="20" fillId="0" borderId="38" xfId="0" applyFont="1" applyFill="1" applyBorder="1" applyAlignment="1">
      <alignment horizontal="left"/>
    </xf>
    <xf numFmtId="0" fontId="20" fillId="0" borderId="39" xfId="0" applyFont="1" applyFill="1" applyBorder="1" applyAlignment="1">
      <alignment horizontal="left"/>
    </xf>
    <xf numFmtId="164" fontId="20" fillId="0" borderId="38" xfId="205" applyFont="1" applyFill="1" applyBorder="1" applyAlignment="1">
      <alignment horizontal="left"/>
    </xf>
    <xf numFmtId="164" fontId="24" fillId="0" borderId="0" xfId="0" applyNumberFormat="1" applyFont="1" applyFill="1" applyAlignment="1">
      <alignment horizontal="center"/>
    </xf>
    <xf numFmtId="164" fontId="23" fillId="27" borderId="13" xfId="205" applyFont="1" applyFill="1" applyBorder="1" applyAlignment="1">
      <alignment horizontal="center"/>
    </xf>
    <xf numFmtId="164" fontId="23" fillId="27" borderId="37" xfId="205" applyFont="1" applyFill="1" applyBorder="1" applyAlignment="1">
      <alignment horizontal="center"/>
    </xf>
    <xf numFmtId="4" fontId="125" fillId="0" borderId="82" xfId="48" applyNumberFormat="1" applyFont="1" applyFill="1" applyBorder="1" applyAlignment="1" applyProtection="1">
      <alignment horizontal="center" wrapText="1" shrinkToFit="1"/>
    </xf>
    <xf numFmtId="0" fontId="23" fillId="0" borderId="11"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0" borderId="34" xfId="0" applyFont="1" applyFill="1" applyBorder="1" applyAlignment="1">
      <alignment vertical="center"/>
    </xf>
    <xf numFmtId="0" fontId="29" fillId="0" borderId="0" xfId="0" applyFont="1" applyAlignment="1">
      <alignment horizontal="center" vertical="center"/>
    </xf>
    <xf numFmtId="4" fontId="125" fillId="0" borderId="61" xfId="48" applyNumberFormat="1" applyFont="1" applyAlignment="1" applyProtection="1">
      <alignment horizontal="right" wrapText="1" shrinkToFit="1"/>
    </xf>
    <xf numFmtId="4" fontId="125" fillId="0" borderId="89" xfId="48" applyNumberFormat="1" applyFont="1" applyBorder="1" applyAlignment="1" applyProtection="1">
      <alignment horizontal="right" wrapText="1" shrinkToFit="1"/>
    </xf>
    <xf numFmtId="4" fontId="125" fillId="0" borderId="84" xfId="48" applyNumberFormat="1" applyFont="1" applyBorder="1" applyAlignment="1" applyProtection="1">
      <alignment horizontal="right" wrapText="1" shrinkToFit="1"/>
    </xf>
    <xf numFmtId="4" fontId="125" fillId="0" borderId="90" xfId="48" applyNumberFormat="1" applyFont="1" applyBorder="1" applyAlignment="1" applyProtection="1">
      <alignment horizontal="right" wrapText="1" shrinkToFit="1"/>
    </xf>
    <xf numFmtId="164" fontId="24" fillId="27" borderId="27" xfId="205" applyFont="1" applyFill="1" applyBorder="1" applyAlignment="1">
      <alignment horizontal="center" wrapText="1"/>
    </xf>
    <xf numFmtId="164" fontId="115" fillId="27" borderId="16" xfId="205" applyFont="1" applyFill="1" applyBorder="1" applyAlignment="1">
      <alignment horizontal="center" wrapText="1" shrinkToFit="1"/>
    </xf>
    <xf numFmtId="164" fontId="115" fillId="27" borderId="21" xfId="205" applyFont="1" applyFill="1" applyBorder="1" applyAlignment="1">
      <alignment horizontal="center" wrapText="1" shrinkToFit="1"/>
    </xf>
    <xf numFmtId="164" fontId="115" fillId="27" borderId="25" xfId="205" applyFont="1" applyFill="1" applyBorder="1" applyAlignment="1">
      <alignment horizontal="center" wrapText="1" shrinkToFit="1"/>
    </xf>
    <xf numFmtId="164" fontId="23" fillId="72" borderId="21" xfId="205" applyFont="1" applyFill="1" applyBorder="1" applyAlignment="1">
      <alignment horizontal="center" wrapText="1" shrinkToFit="1"/>
    </xf>
    <xf numFmtId="4" fontId="75" fillId="0" borderId="60" xfId="208" applyNumberFormat="1" applyProtection="1">
      <alignment horizontal="right" vertical="top" shrinkToFit="1"/>
    </xf>
    <xf numFmtId="164" fontId="7" fillId="0" borderId="0" xfId="0" applyNumberFormat="1" applyFont="1" applyAlignment="1">
      <alignment vertical="center"/>
    </xf>
    <xf numFmtId="0" fontId="7" fillId="0" borderId="41" xfId="0" applyFont="1" applyFill="1" applyBorder="1" applyAlignment="1">
      <alignment horizontal="center" vertical="center" wrapText="1"/>
    </xf>
    <xf numFmtId="49" fontId="29" fillId="0" borderId="41" xfId="0" applyNumberFormat="1" applyFont="1" applyFill="1" applyBorder="1" applyAlignment="1">
      <alignment horizontal="center" vertical="center" wrapText="1"/>
    </xf>
    <xf numFmtId="164" fontId="116" fillId="0" borderId="38" xfId="0" applyNumberFormat="1" applyFont="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6" fillId="68" borderId="38" xfId="0" applyNumberFormat="1" applyFont="1" applyFill="1" applyBorder="1" applyAlignment="1">
      <alignment vertical="center"/>
    </xf>
    <xf numFmtId="164" fontId="116" fillId="0" borderId="0" xfId="0" applyNumberFormat="1" applyFont="1" applyAlignment="1">
      <alignment vertical="center"/>
    </xf>
    <xf numFmtId="4" fontId="128" fillId="0" borderId="61" xfId="104" applyNumberFormat="1" applyFont="1" applyBorder="1" applyAlignment="1" applyProtection="1">
      <alignment horizontal="right" shrinkToFit="1"/>
    </xf>
    <xf numFmtId="164" fontId="20" fillId="72" borderId="38" xfId="205" applyFont="1" applyFill="1" applyBorder="1" applyAlignment="1">
      <alignment horizontal="center" shrinkToFit="1"/>
    </xf>
    <xf numFmtId="0" fontId="4" fillId="72" borderId="36" xfId="0" applyFont="1" applyFill="1" applyBorder="1" applyAlignment="1">
      <alignment horizontal="center" vertical="center" wrapText="1"/>
    </xf>
    <xf numFmtId="164" fontId="115" fillId="27" borderId="33" xfId="205" applyFont="1" applyFill="1" applyBorder="1" applyAlignment="1">
      <alignment horizontal="center" wrapText="1" shrinkToFit="1"/>
    </xf>
    <xf numFmtId="164" fontId="115" fillId="69" borderId="16" xfId="205" applyFont="1" applyFill="1" applyBorder="1" applyAlignment="1">
      <alignment horizontal="center" wrapText="1" shrinkToFit="1"/>
    </xf>
    <xf numFmtId="164" fontId="115" fillId="69" borderId="21" xfId="205" applyFont="1" applyFill="1" applyBorder="1" applyAlignment="1">
      <alignment horizontal="center" wrapText="1" shrinkToFit="1"/>
    </xf>
    <xf numFmtId="164" fontId="115" fillId="69" borderId="25" xfId="205" applyFont="1" applyFill="1" applyBorder="1" applyAlignment="1">
      <alignment horizontal="center" wrapText="1" shrinkToFit="1"/>
    </xf>
    <xf numFmtId="4" fontId="128" fillId="0" borderId="84" xfId="104" applyNumberFormat="1" applyFont="1" applyBorder="1" applyAlignment="1" applyProtection="1">
      <alignment horizontal="right" shrinkToFit="1"/>
    </xf>
    <xf numFmtId="0" fontId="18" fillId="0" borderId="15"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32" fillId="78" borderId="38" xfId="0" applyFont="1" applyFill="1" applyBorder="1" applyAlignment="1">
      <alignment vertical="center" wrapText="1"/>
    </xf>
    <xf numFmtId="0" fontId="18" fillId="72" borderId="11" xfId="0" applyFont="1" applyFill="1" applyBorder="1" applyAlignment="1">
      <alignment horizontal="center"/>
    </xf>
    <xf numFmtId="0" fontId="18" fillId="72" borderId="15" xfId="0" applyFont="1" applyFill="1" applyBorder="1" applyAlignment="1">
      <alignment horizontal="center"/>
    </xf>
    <xf numFmtId="164" fontId="21" fillId="72" borderId="16" xfId="205" applyNumberFormat="1" applyFont="1" applyFill="1" applyBorder="1" applyAlignment="1">
      <alignment horizontal="center"/>
    </xf>
    <xf numFmtId="164" fontId="21" fillId="72" borderId="17" xfId="205" applyNumberFormat="1" applyFont="1" applyFill="1" applyBorder="1" applyAlignment="1">
      <alignment horizontal="center"/>
    </xf>
    <xf numFmtId="164" fontId="21" fillId="72" borderId="21" xfId="205" applyNumberFormat="1" applyFont="1" applyFill="1" applyBorder="1" applyAlignment="1">
      <alignment horizontal="center"/>
    </xf>
    <xf numFmtId="164" fontId="21" fillId="72" borderId="22" xfId="205" applyNumberFormat="1" applyFont="1" applyFill="1" applyBorder="1" applyAlignment="1">
      <alignment horizontal="center"/>
    </xf>
    <xf numFmtId="164" fontId="21" fillId="72" borderId="25" xfId="205" applyNumberFormat="1" applyFont="1" applyFill="1" applyBorder="1" applyAlignment="1">
      <alignment horizontal="center"/>
    </xf>
    <xf numFmtId="164" fontId="21" fillId="72" borderId="26" xfId="205" applyNumberFormat="1" applyFont="1" applyFill="1" applyBorder="1" applyAlignment="1">
      <alignment horizontal="center"/>
    </xf>
    <xf numFmtId="164" fontId="17" fillId="72" borderId="24" xfId="205" applyNumberFormat="1" applyFont="1" applyFill="1" applyBorder="1" applyAlignment="1"/>
    <xf numFmtId="164" fontId="17" fillId="72" borderId="33" xfId="205" applyNumberFormat="1" applyFont="1" applyFill="1" applyBorder="1" applyAlignment="1"/>
    <xf numFmtId="164" fontId="17" fillId="72" borderId="32" xfId="205" applyNumberFormat="1" applyFont="1" applyFill="1" applyBorder="1" applyAlignment="1"/>
    <xf numFmtId="164" fontId="17" fillId="72" borderId="11" xfId="205" applyNumberFormat="1" applyFont="1" applyFill="1" applyBorder="1" applyAlignment="1"/>
    <xf numFmtId="164" fontId="17" fillId="72" borderId="12" xfId="205" applyNumberFormat="1" applyFont="1" applyFill="1" applyBorder="1" applyAlignment="1"/>
    <xf numFmtId="0" fontId="25" fillId="72" borderId="11" xfId="0" applyFont="1" applyFill="1" applyBorder="1"/>
    <xf numFmtId="0" fontId="25" fillId="72" borderId="12" xfId="0" applyFont="1" applyFill="1" applyBorder="1"/>
    <xf numFmtId="0" fontId="25" fillId="72" borderId="29" xfId="0" applyFont="1" applyFill="1" applyBorder="1"/>
    <xf numFmtId="0" fontId="25" fillId="72" borderId="30" xfId="0" applyFont="1" applyFill="1" applyBorder="1"/>
    <xf numFmtId="164" fontId="17" fillId="72" borderId="29" xfId="205" applyNumberFormat="1" applyFont="1" applyFill="1" applyBorder="1" applyAlignment="1">
      <alignment horizontal="center"/>
    </xf>
    <xf numFmtId="164" fontId="17" fillId="72" borderId="30" xfId="205" applyNumberFormat="1" applyFont="1" applyFill="1" applyBorder="1" applyAlignment="1">
      <alignment horizontal="center"/>
    </xf>
    <xf numFmtId="164" fontId="21" fillId="0" borderId="53" xfId="205" applyNumberFormat="1" applyFont="1" applyFill="1" applyBorder="1" applyAlignment="1">
      <alignment horizontal="center"/>
    </xf>
    <xf numFmtId="164" fontId="17" fillId="72" borderId="15" xfId="205" applyNumberFormat="1" applyFont="1" applyFill="1" applyBorder="1" applyAlignment="1"/>
    <xf numFmtId="0" fontId="25" fillId="72" borderId="15" xfId="0" applyFont="1" applyFill="1" applyBorder="1"/>
    <xf numFmtId="0" fontId="25" fillId="72" borderId="24" xfId="0" applyFont="1" applyFill="1" applyBorder="1"/>
    <xf numFmtId="164" fontId="17" fillId="72" borderId="24" xfId="205" applyNumberFormat="1" applyFont="1" applyFill="1" applyBorder="1" applyAlignment="1">
      <alignment horizontal="center"/>
    </xf>
    <xf numFmtId="0" fontId="18" fillId="72" borderId="14" xfId="0" applyFont="1" applyFill="1" applyBorder="1" applyAlignment="1">
      <alignment horizontal="center"/>
    </xf>
    <xf numFmtId="164" fontId="17" fillId="72" borderId="29" xfId="205" applyNumberFormat="1" applyFont="1" applyFill="1" applyBorder="1" applyAlignment="1"/>
    <xf numFmtId="164" fontId="17" fillId="72" borderId="14" xfId="205" applyNumberFormat="1" applyFont="1" applyFill="1" applyBorder="1" applyAlignment="1"/>
    <xf numFmtId="164" fontId="21" fillId="72" borderId="33" xfId="205" applyNumberFormat="1" applyFont="1" applyFill="1" applyBorder="1" applyAlignment="1">
      <alignment horizontal="center"/>
    </xf>
    <xf numFmtId="165" fontId="17" fillId="72" borderId="31" xfId="205" applyNumberFormat="1" applyFont="1" applyFill="1" applyBorder="1" applyAlignment="1"/>
    <xf numFmtId="164" fontId="17" fillId="72" borderId="25" xfId="205" applyNumberFormat="1" applyFont="1" applyFill="1" applyBorder="1" applyAlignment="1">
      <alignment horizontal="center"/>
    </xf>
    <xf numFmtId="0" fontId="18" fillId="0" borderId="29" xfId="0" applyFont="1" applyFill="1" applyBorder="1" applyAlignment="1">
      <alignment vertical="center" wrapText="1"/>
    </xf>
    <xf numFmtId="164" fontId="21" fillId="72" borderId="19" xfId="205" applyNumberFormat="1" applyFont="1" applyFill="1" applyBorder="1" applyAlignment="1">
      <alignment horizontal="center"/>
    </xf>
    <xf numFmtId="164" fontId="21" fillId="72" borderId="23" xfId="205" applyNumberFormat="1" applyFont="1" applyFill="1" applyBorder="1" applyAlignment="1">
      <alignment horizontal="center"/>
    </xf>
    <xf numFmtId="164" fontId="21" fillId="72" borderId="28" xfId="205" applyNumberFormat="1" applyFont="1" applyFill="1" applyBorder="1" applyAlignment="1">
      <alignment horizontal="center"/>
    </xf>
    <xf numFmtId="164" fontId="21" fillId="72" borderId="18" xfId="205" applyNumberFormat="1" applyFont="1" applyFill="1" applyBorder="1" applyAlignment="1">
      <alignment horizontal="center"/>
    </xf>
    <xf numFmtId="164" fontId="21" fillId="72" borderId="20" xfId="205" applyNumberFormat="1" applyFont="1" applyFill="1" applyBorder="1" applyAlignment="1">
      <alignment horizontal="center"/>
    </xf>
    <xf numFmtId="164" fontId="21" fillId="72" borderId="27" xfId="205" applyNumberFormat="1" applyFont="1" applyFill="1" applyBorder="1" applyAlignment="1">
      <alignment horizontal="center"/>
    </xf>
    <xf numFmtId="0" fontId="18" fillId="72" borderId="12" xfId="0" applyFont="1" applyFill="1" applyBorder="1" applyAlignment="1">
      <alignment horizontal="center"/>
    </xf>
    <xf numFmtId="164" fontId="17" fillId="72" borderId="30" xfId="205" applyNumberFormat="1" applyFont="1" applyFill="1" applyBorder="1" applyAlignment="1"/>
    <xf numFmtId="164" fontId="21" fillId="72" borderId="37" xfId="205" applyNumberFormat="1" applyFont="1" applyFill="1" applyBorder="1" applyAlignment="1">
      <alignment horizontal="center"/>
    </xf>
    <xf numFmtId="164" fontId="21" fillId="72" borderId="49" xfId="205" applyNumberFormat="1" applyFont="1" applyFill="1" applyBorder="1" applyAlignment="1">
      <alignment horizontal="center"/>
    </xf>
    <xf numFmtId="0" fontId="18" fillId="72" borderId="36" xfId="0" applyFont="1" applyFill="1" applyBorder="1" applyAlignment="1">
      <alignment horizontal="center"/>
    </xf>
    <xf numFmtId="164" fontId="17" fillId="72" borderId="37" xfId="205" applyNumberFormat="1" applyFont="1" applyFill="1" applyBorder="1" applyAlignment="1"/>
    <xf numFmtId="164" fontId="17" fillId="72" borderId="43" xfId="205" applyNumberFormat="1" applyFont="1" applyFill="1" applyBorder="1" applyAlignment="1"/>
    <xf numFmtId="0" fontId="25" fillId="72" borderId="43" xfId="0" applyFont="1" applyFill="1" applyBorder="1"/>
    <xf numFmtId="0" fontId="25" fillId="72" borderId="44" xfId="0" applyFont="1" applyFill="1" applyBorder="1"/>
    <xf numFmtId="164" fontId="17" fillId="72" borderId="44" xfId="205" applyNumberFormat="1" applyFont="1" applyFill="1" applyBorder="1" applyAlignment="1">
      <alignment horizontal="center"/>
    </xf>
    <xf numFmtId="0" fontId="18" fillId="72" borderId="43" xfId="0" applyFont="1" applyFill="1" applyBorder="1" applyAlignment="1">
      <alignment horizontal="center"/>
    </xf>
    <xf numFmtId="164" fontId="17" fillId="72" borderId="44" xfId="205" applyNumberFormat="1" applyFont="1" applyFill="1" applyBorder="1" applyAlignment="1"/>
    <xf numFmtId="164" fontId="141" fillId="72" borderId="16" xfId="205" applyNumberFormat="1" applyFont="1" applyFill="1" applyBorder="1" applyAlignment="1">
      <alignment horizontal="center"/>
    </xf>
    <xf numFmtId="164" fontId="141" fillId="72" borderId="21" xfId="205" applyNumberFormat="1" applyFont="1" applyFill="1" applyBorder="1" applyAlignment="1">
      <alignment horizontal="center"/>
    </xf>
    <xf numFmtId="164" fontId="141" fillId="72" borderId="25" xfId="205" applyNumberFormat="1" applyFont="1" applyFill="1" applyBorder="1" applyAlignment="1">
      <alignment horizontal="center"/>
    </xf>
    <xf numFmtId="164" fontId="142" fillId="0" borderId="13" xfId="0" applyNumberFormat="1" applyFont="1" applyFill="1" applyBorder="1"/>
    <xf numFmtId="164" fontId="21" fillId="72" borderId="32" xfId="205" applyNumberFormat="1" applyFont="1" applyFill="1" applyBorder="1" applyAlignment="1">
      <alignment horizontal="center"/>
    </xf>
    <xf numFmtId="0" fontId="18" fillId="0" borderId="36" xfId="0" applyFont="1" applyFill="1" applyBorder="1" applyAlignment="1">
      <alignment horizontal="center"/>
    </xf>
    <xf numFmtId="164" fontId="21" fillId="72" borderId="50" xfId="205" applyNumberFormat="1" applyFont="1" applyFill="1" applyBorder="1" applyAlignment="1">
      <alignment horizontal="center"/>
    </xf>
    <xf numFmtId="164" fontId="21" fillId="72" borderId="35" xfId="205" applyNumberFormat="1" applyFont="1" applyFill="1" applyBorder="1" applyAlignment="1">
      <alignment horizontal="center"/>
    </xf>
    <xf numFmtId="164" fontId="21" fillId="0" borderId="50" xfId="205" applyNumberFormat="1" applyFont="1" applyFill="1" applyBorder="1" applyAlignment="1">
      <alignment horizontal="center"/>
    </xf>
    <xf numFmtId="164" fontId="17" fillId="72" borderId="36" xfId="205" applyNumberFormat="1" applyFont="1" applyFill="1" applyBorder="1" applyAlignment="1"/>
    <xf numFmtId="164" fontId="130" fillId="0" borderId="38" xfId="0" applyNumberFormat="1" applyFont="1" applyFill="1" applyBorder="1"/>
    <xf numFmtId="0" fontId="36" fillId="0" borderId="0" xfId="0" applyFont="1" applyFill="1" applyAlignment="1">
      <alignment horizontal="right"/>
    </xf>
    <xf numFmtId="0" fontId="36" fillId="0" borderId="0" xfId="0" applyFont="1" applyFill="1" applyAlignment="1">
      <alignment horizontal="center"/>
    </xf>
    <xf numFmtId="0" fontId="23" fillId="68" borderId="11" xfId="0" applyFont="1" applyFill="1" applyBorder="1" applyAlignment="1">
      <alignment horizontal="center" vertical="center" wrapText="1"/>
    </xf>
    <xf numFmtId="0" fontId="23" fillId="0" borderId="34" xfId="0" applyFont="1" applyFill="1" applyBorder="1" applyAlignment="1">
      <alignment vertical="center"/>
    </xf>
    <xf numFmtId="164" fontId="24" fillId="72" borderId="19" xfId="205" applyFont="1" applyFill="1" applyBorder="1" applyAlignment="1">
      <alignment horizontal="center" wrapText="1" shrinkToFit="1"/>
    </xf>
    <xf numFmtId="164" fontId="24" fillId="72" borderId="23" xfId="205" applyFont="1" applyFill="1" applyBorder="1" applyAlignment="1">
      <alignment horizontal="center" wrapText="1" shrinkToFit="1"/>
    </xf>
    <xf numFmtId="164" fontId="24" fillId="72" borderId="28" xfId="205" applyFont="1" applyFill="1" applyBorder="1" applyAlignment="1">
      <alignment horizontal="center" wrapText="1" shrinkToFit="1"/>
    </xf>
    <xf numFmtId="164" fontId="23" fillId="72" borderId="20" xfId="205" applyFont="1" applyFill="1" applyBorder="1" applyAlignment="1">
      <alignment horizontal="center" wrapText="1" shrinkToFit="1"/>
    </xf>
    <xf numFmtId="164" fontId="115" fillId="27" borderId="19" xfId="205" applyFont="1" applyFill="1" applyBorder="1" applyAlignment="1">
      <alignment horizontal="center"/>
    </xf>
    <xf numFmtId="164" fontId="115" fillId="27" borderId="23" xfId="205" applyFont="1" applyFill="1" applyBorder="1" applyAlignment="1">
      <alignment horizontal="center"/>
    </xf>
    <xf numFmtId="164" fontId="115" fillId="27" borderId="28" xfId="205" applyFont="1" applyFill="1" applyBorder="1" applyAlignment="1">
      <alignment horizontal="center"/>
    </xf>
    <xf numFmtId="164" fontId="24" fillId="0" borderId="53" xfId="205" applyFont="1" applyFill="1" applyBorder="1" applyAlignment="1">
      <alignment horizontal="center" wrapText="1" shrinkToFit="1"/>
    </xf>
    <xf numFmtId="164" fontId="24" fillId="0" borderId="50" xfId="205" applyFont="1" applyFill="1" applyBorder="1" applyAlignment="1">
      <alignment horizontal="center" wrapText="1" shrinkToFit="1"/>
    </xf>
    <xf numFmtId="164" fontId="24" fillId="0" borderId="24" xfId="205" applyFont="1" applyFill="1" applyBorder="1" applyAlignment="1">
      <alignment horizontal="center" wrapText="1" shrinkToFit="1"/>
    </xf>
    <xf numFmtId="164" fontId="24" fillId="0" borderId="29" xfId="205" applyFont="1" applyFill="1" applyBorder="1" applyAlignment="1">
      <alignment horizontal="center" wrapText="1" shrinkToFit="1"/>
    </xf>
    <xf numFmtId="0" fontId="23" fillId="0" borderId="34" xfId="0" applyFont="1" applyFill="1" applyBorder="1" applyAlignment="1">
      <alignment vertical="center"/>
    </xf>
    <xf numFmtId="4" fontId="119" fillId="0" borderId="0" xfId="101" applyNumberFormat="1" applyFont="1" applyFill="1" applyBorder="1" applyAlignment="1" applyProtection="1">
      <alignment horizontal="right" vertical="top" shrinkToFit="1"/>
    </xf>
    <xf numFmtId="164" fontId="29" fillId="0" borderId="38" xfId="205" applyNumberFormat="1" applyFont="1" applyFill="1" applyBorder="1" applyAlignment="1">
      <alignment horizontal="center" vertical="center" wrapText="1"/>
    </xf>
    <xf numFmtId="4" fontId="128" fillId="0" borderId="89" xfId="104" applyNumberFormat="1" applyFont="1" applyBorder="1" applyAlignment="1" applyProtection="1">
      <alignment horizontal="right" shrinkToFit="1"/>
    </xf>
    <xf numFmtId="4" fontId="128" fillId="0" borderId="90" xfId="104" applyNumberFormat="1" applyFont="1" applyBorder="1" applyAlignment="1" applyProtection="1">
      <alignment horizontal="right" shrinkToFit="1"/>
    </xf>
    <xf numFmtId="164" fontId="114" fillId="69" borderId="38" xfId="205" applyFont="1" applyFill="1" applyBorder="1" applyAlignment="1">
      <alignment horizontal="center"/>
    </xf>
    <xf numFmtId="4" fontId="120" fillId="0" borderId="61" xfId="104" applyNumberFormat="1" applyFont="1" applyBorder="1" applyAlignment="1" applyProtection="1">
      <alignment horizontal="right" shrinkToFit="1"/>
    </xf>
    <xf numFmtId="0" fontId="23" fillId="0" borderId="34" xfId="0" applyFont="1" applyFill="1" applyBorder="1" applyAlignment="1">
      <alignment vertical="center"/>
    </xf>
    <xf numFmtId="164" fontId="24" fillId="68" borderId="50" xfId="205" applyFont="1" applyFill="1" applyBorder="1" applyAlignment="1">
      <alignment horizontal="center"/>
    </xf>
    <xf numFmtId="164" fontId="24" fillId="72" borderId="50" xfId="205" applyFont="1" applyFill="1" applyBorder="1" applyAlignment="1">
      <alignment horizontal="center"/>
    </xf>
    <xf numFmtId="164" fontId="115" fillId="72" borderId="48" xfId="205" applyFont="1" applyFill="1" applyBorder="1" applyAlignment="1">
      <alignment horizontal="center"/>
    </xf>
    <xf numFmtId="164" fontId="115" fillId="25" borderId="20" xfId="205" applyFont="1" applyFill="1" applyBorder="1" applyAlignment="1">
      <alignment horizontal="center"/>
    </xf>
    <xf numFmtId="164" fontId="115" fillId="72" borderId="58" xfId="205" applyFont="1" applyFill="1" applyBorder="1" applyAlignment="1">
      <alignment horizontal="center"/>
    </xf>
    <xf numFmtId="164" fontId="23" fillId="0" borderId="0" xfId="0" applyNumberFormat="1" applyFont="1" applyFill="1" applyAlignment="1">
      <alignment horizontal="center"/>
    </xf>
    <xf numFmtId="0" fontId="131" fillId="68" borderId="0" xfId="0" applyFont="1" applyFill="1"/>
    <xf numFmtId="164" fontId="9" fillId="0" borderId="50" xfId="0" applyNumberFormat="1" applyFont="1" applyFill="1" applyBorder="1"/>
    <xf numFmtId="164" fontId="32" fillId="0" borderId="0" xfId="0" applyNumberFormat="1" applyFont="1" applyAlignment="1">
      <alignment vertical="center"/>
    </xf>
    <xf numFmtId="4" fontId="32" fillId="0" borderId="0" xfId="0" applyNumberFormat="1" applyFont="1" applyFill="1" applyAlignment="1">
      <alignment vertical="center"/>
    </xf>
    <xf numFmtId="164" fontId="32" fillId="0" borderId="0" xfId="205" applyFont="1" applyAlignment="1">
      <alignment vertical="center"/>
    </xf>
    <xf numFmtId="164" fontId="143" fillId="0" borderId="0" xfId="205" applyFont="1" applyAlignment="1">
      <alignment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vertical="center"/>
    </xf>
    <xf numFmtId="4" fontId="120" fillId="0" borderId="61" xfId="101" applyNumberFormat="1" applyFont="1" applyBorder="1" applyAlignment="1" applyProtection="1">
      <alignment horizontal="right" shrinkToFit="1"/>
    </xf>
    <xf numFmtId="164" fontId="120" fillId="0" borderId="38" xfId="205" applyFont="1" applyFill="1" applyBorder="1" applyAlignment="1" applyProtection="1">
      <alignment horizontal="right" shrinkToFit="1"/>
    </xf>
    <xf numFmtId="4" fontId="74" fillId="49" borderId="59" xfId="209" applyNumberFormat="1" applyProtection="1">
      <alignment horizontal="right" shrinkToFit="1"/>
    </xf>
    <xf numFmtId="164" fontId="64" fillId="76" borderId="38" xfId="205" applyFont="1" applyFill="1" applyBorder="1" applyAlignment="1">
      <alignment vertical="center"/>
    </xf>
    <xf numFmtId="164" fontId="29" fillId="76" borderId="38" xfId="205"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4" fontId="62" fillId="69" borderId="38" xfId="205" applyFont="1" applyFill="1" applyBorder="1" applyAlignment="1">
      <alignment horizontal="center" vertical="center" wrapText="1"/>
    </xf>
    <xf numFmtId="0" fontId="32" fillId="72" borderId="38" xfId="0" applyNumberFormat="1" applyFont="1" applyFill="1" applyBorder="1" applyAlignment="1">
      <alignment vertical="center" wrapText="1"/>
    </xf>
    <xf numFmtId="164" fontId="29" fillId="72" borderId="38" xfId="205" applyFont="1" applyFill="1" applyBorder="1" applyAlignment="1">
      <alignment vertical="center"/>
    </xf>
    <xf numFmtId="164" fontId="31" fillId="72" borderId="38" xfId="205" applyFont="1" applyFill="1" applyBorder="1" applyAlignment="1">
      <alignment horizontal="center" vertical="center" wrapText="1"/>
    </xf>
    <xf numFmtId="164" fontId="31" fillId="72" borderId="38" xfId="205" applyFont="1" applyFill="1" applyBorder="1" applyAlignment="1">
      <alignment vertical="center"/>
    </xf>
    <xf numFmtId="0" fontId="23" fillId="25" borderId="36" xfId="0" applyFont="1" applyFill="1" applyBorder="1" applyAlignment="1">
      <alignment horizontal="center" vertical="center"/>
    </xf>
    <xf numFmtId="4" fontId="128" fillId="0" borderId="93" xfId="104" applyNumberFormat="1" applyFont="1" applyBorder="1" applyAlignment="1" applyProtection="1">
      <alignment horizontal="right" shrinkToFit="1"/>
    </xf>
    <xf numFmtId="4" fontId="128" fillId="0" borderId="94" xfId="104" applyNumberFormat="1" applyFont="1" applyBorder="1" applyAlignment="1" applyProtection="1">
      <alignment horizontal="right" shrinkToFit="1"/>
    </xf>
    <xf numFmtId="4" fontId="128" fillId="0" borderId="95" xfId="104" applyNumberFormat="1" applyFont="1" applyBorder="1" applyAlignment="1" applyProtection="1">
      <alignment horizontal="right" shrinkToFit="1"/>
    </xf>
    <xf numFmtId="4" fontId="128" fillId="0" borderId="92" xfId="104" applyNumberFormat="1" applyFont="1" applyBorder="1" applyAlignment="1" applyProtection="1">
      <alignment horizontal="right" shrinkToFit="1"/>
    </xf>
    <xf numFmtId="170" fontId="144" fillId="73" borderId="21" xfId="0" applyNumberFormat="1" applyFont="1" applyFill="1" applyBorder="1" applyAlignment="1">
      <alignment horizontal="center"/>
    </xf>
    <xf numFmtId="4" fontId="145" fillId="50" borderId="61" xfId="42" applyNumberFormat="1" applyFont="1" applyAlignment="1" applyProtection="1">
      <alignment horizontal="right" wrapText="1" shrinkToFit="1"/>
    </xf>
    <xf numFmtId="164" fontId="23" fillId="0" borderId="38" xfId="205" applyNumberFormat="1" applyFont="1" applyFill="1" applyBorder="1" applyAlignment="1">
      <alignment horizontal="right" vertical="center" wrapText="1" shrinkToFit="1"/>
    </xf>
    <xf numFmtId="164" fontId="64" fillId="30" borderId="38" xfId="205"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27" borderId="47" xfId="0" applyFont="1" applyFill="1" applyBorder="1" applyAlignment="1">
      <alignment vertical="center"/>
    </xf>
    <xf numFmtId="0" fontId="23" fillId="0" borderId="3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0" borderId="34" xfId="0" applyFont="1" applyFill="1" applyBorder="1" applyAlignment="1">
      <alignment vertical="center"/>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0" fontId="138" fillId="0" borderId="0" xfId="0" applyFont="1" applyFill="1" applyAlignment="1">
      <alignment horizontal="center" vertical="center"/>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15"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68" borderId="29"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47" xfId="0"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0" borderId="30" xfId="0" applyFont="1" applyFill="1" applyBorder="1" applyAlignment="1">
      <alignment vertical="center"/>
    </xf>
    <xf numFmtId="164" fontId="23" fillId="0" borderId="38" xfId="0" applyNumberFormat="1" applyFont="1" applyFill="1" applyBorder="1" applyAlignment="1">
      <alignment horizontal="center" vertical="center"/>
    </xf>
    <xf numFmtId="0" fontId="23" fillId="0" borderId="47" xfId="0" applyFont="1" applyFill="1" applyBorder="1" applyAlignment="1">
      <alignment horizontal="center" vertical="center"/>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20" fillId="68" borderId="40" xfId="0" quotePrefix="1" applyFont="1" applyFill="1" applyBorder="1" applyAlignment="1">
      <alignment horizontal="center" vertical="center"/>
    </xf>
    <xf numFmtId="0" fontId="18" fillId="0" borderId="39"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38" xfId="0" quotePrefix="1" applyFont="1" applyFill="1" applyBorder="1" applyAlignment="1">
      <alignment horizontal="center" vertical="center"/>
    </xf>
    <xf numFmtId="0" fontId="20" fillId="68" borderId="40" xfId="0"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56" xfId="0" applyFont="1" applyFill="1" applyBorder="1" applyAlignment="1">
      <alignment horizontal="center" vertical="center" wrapText="1"/>
    </xf>
    <xf numFmtId="0" fontId="20" fillId="68" borderId="22" xfId="0" applyFont="1" applyFill="1" applyBorder="1" applyAlignment="1">
      <alignment horizontal="center" vertical="center"/>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20" fillId="68" borderId="22" xfId="0" quotePrefix="1" applyFont="1" applyFill="1" applyBorder="1" applyAlignment="1">
      <alignment horizontal="center" vertical="center"/>
    </xf>
    <xf numFmtId="0" fontId="8" fillId="0" borderId="39"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5" xfId="0" applyNumberFormat="1" applyFont="1" applyFill="1" applyBorder="1" applyAlignment="1">
      <alignment horizontal="center" vertical="center" wrapText="1"/>
    </xf>
    <xf numFmtId="0" fontId="8" fillId="0" borderId="56" xfId="0" applyNumberFormat="1" applyFont="1" applyFill="1" applyBorder="1" applyAlignment="1">
      <alignment horizontal="center" vertical="center" wrapText="1"/>
    </xf>
    <xf numFmtId="0" fontId="8" fillId="0" borderId="39" xfId="0" applyNumberFormat="1"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7"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23" fillId="0" borderId="0" xfId="0" applyFont="1" applyAlignment="1">
      <alignment horizontal="center" wrapText="1"/>
    </xf>
    <xf numFmtId="0" fontId="121" fillId="0" borderId="0" xfId="0" applyFont="1" applyAlignment="1">
      <alignment horizontal="center"/>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40" xfId="0" applyFont="1" applyFill="1" applyBorder="1" applyAlignment="1">
      <alignment horizontal="center" vertical="center"/>
    </xf>
    <xf numFmtId="0" fontId="23" fillId="0" borderId="38" xfId="0" applyFont="1" applyBorder="1" applyAlignment="1">
      <alignment horizontal="center" vertical="center" wrapText="1"/>
    </xf>
    <xf numFmtId="0" fontId="23" fillId="25" borderId="22" xfId="0" applyFont="1" applyFill="1" applyBorder="1" applyAlignment="1">
      <alignment horizontal="center" vertical="center"/>
    </xf>
    <xf numFmtId="0" fontId="23" fillId="0" borderId="38" xfId="0" applyNumberFormat="1" applyFont="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8" xfId="0" applyNumberFormat="1"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27" borderId="36" xfId="0" applyFont="1" applyFill="1" applyBorder="1" applyAlignment="1">
      <alignment horizontal="center" vertical="center" wrapText="1"/>
    </xf>
    <xf numFmtId="0" fontId="5" fillId="0" borderId="0" xfId="0" applyFont="1" applyAlignment="1">
      <alignment horizontal="center"/>
    </xf>
    <xf numFmtId="0" fontId="7" fillId="0" borderId="22" xfId="0" applyFont="1" applyBorder="1" applyAlignment="1">
      <alignment horizontal="left" wrapText="1"/>
    </xf>
    <xf numFmtId="0" fontId="18" fillId="0" borderId="36"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5" fillId="0" borderId="36" xfId="0" applyFont="1" applyFill="1" applyBorder="1" applyAlignment="1">
      <alignment horizontal="center" vertical="center"/>
    </xf>
    <xf numFmtId="0" fontId="0" fillId="0" borderId="34" xfId="0" applyBorder="1"/>
    <xf numFmtId="0" fontId="0" fillId="0" borderId="47" xfId="0" applyBorder="1"/>
    <xf numFmtId="0" fontId="4" fillId="0" borderId="3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7" xfId="0" applyFont="1" applyFill="1" applyBorder="1" applyAlignment="1">
      <alignment horizontal="center" vertical="center"/>
    </xf>
    <xf numFmtId="0" fontId="5" fillId="0" borderId="3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8" fillId="68" borderId="15" xfId="0" applyFont="1" applyFill="1" applyBorder="1" applyAlignment="1">
      <alignment horizontal="center" vertical="center" wrapText="1"/>
    </xf>
    <xf numFmtId="0" fontId="18" fillId="68" borderId="43" xfId="0" applyFont="1" applyFill="1" applyBorder="1" applyAlignment="1">
      <alignment horizontal="center" vertical="center" wrapText="1"/>
    </xf>
    <xf numFmtId="0" fontId="18" fillId="68" borderId="24" xfId="0" applyFont="1" applyFill="1" applyBorder="1" applyAlignment="1">
      <alignment horizontal="center" vertical="center" wrapText="1"/>
    </xf>
    <xf numFmtId="0" fontId="18" fillId="68" borderId="4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5"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5" applyFont="1" applyBorder="1" applyAlignment="1">
      <alignment horizontal="center" vertical="center"/>
    </xf>
    <xf numFmtId="164" fontId="29" fillId="0" borderId="41" xfId="205" applyFont="1" applyBorder="1" applyAlignment="1">
      <alignment horizontal="center" vertical="center"/>
    </xf>
    <xf numFmtId="164" fontId="29" fillId="0" borderId="40" xfId="205" applyFont="1" applyBorder="1" applyAlignment="1">
      <alignment horizontal="center" vertical="center"/>
    </xf>
    <xf numFmtId="164" fontId="29" fillId="0" borderId="87" xfId="205" applyFont="1" applyBorder="1" applyAlignment="1">
      <alignment horizontal="center" vertical="center" wrapText="1"/>
    </xf>
    <xf numFmtId="164" fontId="29" fillId="0" borderId="88" xfId="205" applyFont="1" applyBorder="1" applyAlignment="1">
      <alignment horizontal="center" vertical="center" wrapText="1"/>
    </xf>
    <xf numFmtId="164" fontId="29" fillId="0" borderId="35" xfId="205" applyFont="1" applyBorder="1" applyAlignment="1">
      <alignment horizontal="center" vertical="center"/>
    </xf>
    <xf numFmtId="169" fontId="127" fillId="0" borderId="38" xfId="0" applyNumberFormat="1" applyFont="1" applyFill="1" applyBorder="1" applyAlignment="1">
      <alignment horizontal="center" vertical="center" wrapText="1" shrinkToFit="1"/>
    </xf>
    <xf numFmtId="0" fontId="29" fillId="0" borderId="38" xfId="0" applyFont="1" applyFill="1" applyBorder="1" applyAlignment="1">
      <alignment horizontal="center" vertical="center" wrapText="1"/>
    </xf>
    <xf numFmtId="0" fontId="7" fillId="68" borderId="38" xfId="0" applyFont="1" applyFill="1" applyBorder="1" applyAlignment="1">
      <alignment horizontal="center" vertical="center" wrapText="1"/>
    </xf>
    <xf numFmtId="0" fontId="7" fillId="0" borderId="38" xfId="0" applyFont="1" applyBorder="1" applyAlignment="1">
      <alignment horizontal="center" vertical="center"/>
    </xf>
    <xf numFmtId="0" fontId="5" fillId="29" borderId="0" xfId="0" applyFont="1" applyFill="1" applyAlignment="1">
      <alignment horizontal="center" vertical="center"/>
    </xf>
    <xf numFmtId="0" fontId="7" fillId="0" borderId="0" xfId="0" applyFont="1" applyAlignment="1">
      <alignment horizontal="center" vertical="center"/>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8" fillId="68" borderId="36" xfId="0" applyFont="1" applyFill="1" applyBorder="1" applyAlignment="1">
      <alignment horizontal="center" vertical="center" wrapText="1"/>
    </xf>
    <xf numFmtId="0" fontId="18" fillId="68" borderId="34" xfId="0" applyFont="1" applyFill="1" applyBorder="1" applyAlignment="1">
      <alignment horizontal="center" vertical="center" wrapText="1"/>
    </xf>
    <xf numFmtId="0" fontId="18" fillId="68" borderId="47"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8" fillId="72" borderId="11" xfId="0" applyFont="1" applyFill="1" applyBorder="1" applyAlignment="1">
      <alignment horizontal="center" vertical="center"/>
    </xf>
    <xf numFmtId="0" fontId="18" fillId="72" borderId="31" xfId="0" applyFont="1" applyFill="1" applyBorder="1" applyAlignment="1">
      <alignment horizontal="center" vertical="center"/>
    </xf>
    <xf numFmtId="0" fontId="18" fillId="72" borderId="29" xfId="0" applyFont="1" applyFill="1" applyBorder="1" applyAlignment="1">
      <alignment horizontal="center" vertical="center"/>
    </xf>
  </cellXfs>
  <cellStyles count="211">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09"/>
    <cellStyle name="ex59" xfId="40"/>
    <cellStyle name="ex63" xfId="210"/>
    <cellStyle name="ex66" xfId="41"/>
    <cellStyle name="ex68" xfId="208"/>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_факт" xfId="192"/>
    <cellStyle name="Обычный_Субвенция  на  полномочия" xfId="193"/>
    <cellStyle name="Обычный_Субвенция  на  полномочия_факт" xfId="194"/>
    <cellStyle name="Плохой" xfId="195" builtinId="27" customBuiltin="1"/>
    <cellStyle name="Плохой 2" xfId="196"/>
    <cellStyle name="Пояснение" xfId="197" builtinId="53" customBuiltin="1"/>
    <cellStyle name="Пояснение 2" xfId="198"/>
    <cellStyle name="Примечание" xfId="199" builtinId="10" customBuiltin="1"/>
    <cellStyle name="Примечание 2" xfId="200"/>
    <cellStyle name="Связанная ячейка" xfId="201" builtinId="24" customBuiltin="1"/>
    <cellStyle name="Связанная ячейка 2" xfId="202"/>
    <cellStyle name="Текст предупреждения" xfId="203" builtinId="11" customBuiltin="1"/>
    <cellStyle name="Текст предупреждения 2" xfId="204"/>
    <cellStyle name="Финансовый" xfId="205" builtinId="3"/>
    <cellStyle name="Хороший" xfId="206" builtinId="26" customBuiltin="1"/>
    <cellStyle name="Хороший 2" xfId="207"/>
  </cellStyles>
  <dxfs count="0"/>
  <tableStyles count="0"/>
  <colors>
    <mruColors>
      <color rgb="FF00FFFF"/>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8%20%20&#1043;&#1054;&#1044;/&#1055;&#1088;&#1086;&#1074;&#1077;&#1088;&#1086;&#1095;&#1085;&#1072;&#1103;%20%20&#1090;&#1072;&#1073;&#1083;&#1080;&#1094;&#1072;%2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сидии_МР"/>
      <sheetName val="Приложение  по  субсидии_БП"/>
      <sheetName val="Приложение по субвении_БП_план"/>
      <sheetName val="Приложение по субвении_БП_факт"/>
      <sheetName val="Дотация  из ФСМБ_МР  и  ГО_план"/>
      <sheetName val="Дотация  из  ФСМБ_МР и  ГО_факт"/>
      <sheetName val="Прил. по дотации на гранты_СП"/>
      <sheetName val="Прил. по дотации на гранты_ГП"/>
      <sheetName val="Прил. по дотации на гранты_кач."/>
      <sheetName val="Прил. по дотации на гранты_нал."/>
      <sheetName val="Прил. по дотации на гранты_ОМС"/>
      <sheetName val="Приложен. по субвенции_МР_план"/>
      <sheetName val="Приложен. по субвенции_МР_факт"/>
      <sheetName val="Прилож. субвенция_МР_20-21 план"/>
      <sheetName val="Прилож. субвенция_МР_20-21 факт"/>
      <sheetName val="План по субвенции_МР_2019-2021"/>
      <sheetName val="Субвенция,  иные  МБТ_2019-2021"/>
      <sheetName val="Дотация  2019 - 2021"/>
      <sheetName val="Дотация  поселениям_2019 - 2021"/>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9-2021_план"/>
      <sheetName val="Субсидия_2019-2021_факт"/>
      <sheetName val="Субсидия_факт"/>
      <sheetName val="Капвложения по отраслям_факт"/>
      <sheetName val="Нераспределенная  субсидия"/>
      <sheetName val="Иные межбюджетные трансферты"/>
      <sheetName val="МБТ  2018 - 2019"/>
      <sheetName val="Дотация  ОМС"/>
      <sheetName val="Фонды 2019-2021_для закона_план"/>
      <sheetName val="Фонды 2019-2021_для закона_ (2)"/>
      <sheetName val="Фонды 2018-2021_для закона_факт"/>
      <sheetName val="Утвержденный  объем  МБТ"/>
      <sheetName val="Утвержденный  объем  МБТ (2)"/>
      <sheetName val="ПНО_2019-2021_план"/>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efreshError="1"/>
      <sheetData sheetId="4">
        <row r="11">
          <cell r="E11">
            <v>67856.5</v>
          </cell>
        </row>
      </sheetData>
      <sheetData sheetId="5">
        <row r="11">
          <cell r="AU11">
            <v>1401.9</v>
          </cell>
        </row>
      </sheetData>
      <sheetData sheetId="6">
        <row r="8">
          <cell r="B8">
            <v>138070.39999999999</v>
          </cell>
        </row>
      </sheetData>
      <sheetData sheetId="7" refreshError="1"/>
      <sheetData sheetId="8" refreshError="1"/>
      <sheetData sheetId="9" refreshError="1"/>
      <sheetData sheetId="10" refreshError="1"/>
      <sheetData sheetId="11">
        <row r="10">
          <cell r="R10">
            <v>21886.5</v>
          </cell>
        </row>
      </sheetData>
      <sheetData sheetId="12">
        <row r="33">
          <cell r="C33">
            <v>3304513</v>
          </cell>
        </row>
      </sheetData>
      <sheetData sheetId="13">
        <row r="33">
          <cell r="C33">
            <v>140147</v>
          </cell>
        </row>
      </sheetData>
      <sheetData sheetId="14">
        <row r="33">
          <cell r="Q33">
            <v>0</v>
          </cell>
        </row>
      </sheetData>
      <sheetData sheetId="15" refreshError="1"/>
      <sheetData sheetId="16" refreshError="1"/>
      <sheetData sheetId="17" refreshError="1"/>
      <sheetData sheetId="18">
        <row r="8">
          <cell r="B8">
            <v>138070.39999999999</v>
          </cell>
        </row>
      </sheetData>
      <sheetData sheetId="19">
        <row r="8">
          <cell r="Z8">
            <v>120509.2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6">
          <cell r="C16">
            <v>3000</v>
          </cell>
        </row>
      </sheetData>
      <sheetData sheetId="45">
        <row r="16">
          <cell r="C16">
            <v>3000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ow r="8">
          <cell r="I8">
            <v>0</v>
          </cell>
          <cell r="K8">
            <v>27284500</v>
          </cell>
          <cell r="O8">
            <v>0</v>
          </cell>
          <cell r="Q8">
            <v>20091400</v>
          </cell>
          <cell r="U8">
            <v>3723960</v>
          </cell>
          <cell r="W8">
            <v>20880600</v>
          </cell>
          <cell r="AA8">
            <v>0</v>
          </cell>
          <cell r="AE8">
            <v>500000</v>
          </cell>
        </row>
        <row r="9">
          <cell r="I9">
            <v>0</v>
          </cell>
          <cell r="K9">
            <v>104102700</v>
          </cell>
          <cell r="O9">
            <v>59989000</v>
          </cell>
          <cell r="Q9">
            <v>14889400</v>
          </cell>
          <cell r="U9">
            <v>781288</v>
          </cell>
          <cell r="W9">
            <v>24688900</v>
          </cell>
          <cell r="AA9">
            <v>1161400</v>
          </cell>
          <cell r="AG9">
            <v>1800000</v>
          </cell>
          <cell r="AK9">
            <v>1966610</v>
          </cell>
        </row>
        <row r="10">
          <cell r="I10">
            <v>0</v>
          </cell>
          <cell r="K10">
            <v>16379700</v>
          </cell>
          <cell r="O10">
            <v>5460800</v>
          </cell>
          <cell r="Q10">
            <v>31399900</v>
          </cell>
          <cell r="U10">
            <v>10090307</v>
          </cell>
          <cell r="W10">
            <v>49300800</v>
          </cell>
          <cell r="AA10">
            <v>20744100</v>
          </cell>
          <cell r="AE10">
            <v>1800000</v>
          </cell>
          <cell r="AI10">
            <v>1200000</v>
          </cell>
        </row>
        <row r="11">
          <cell r="I11">
            <v>0</v>
          </cell>
          <cell r="K11">
            <v>42575200</v>
          </cell>
          <cell r="O11">
            <v>0</v>
          </cell>
          <cell r="Q11">
            <v>11369500</v>
          </cell>
          <cell r="U11">
            <v>919841</v>
          </cell>
          <cell r="W11">
            <v>25171900</v>
          </cell>
          <cell r="AA11">
            <v>0</v>
          </cell>
        </row>
        <row r="12">
          <cell r="I12">
            <v>0</v>
          </cell>
          <cell r="K12">
            <v>24436400</v>
          </cell>
          <cell r="O12">
            <v>0</v>
          </cell>
          <cell r="Q12">
            <v>39063200</v>
          </cell>
          <cell r="U12">
            <v>36614048</v>
          </cell>
          <cell r="W12">
            <v>37504700</v>
          </cell>
          <cell r="AA12">
            <v>0</v>
          </cell>
          <cell r="AC12">
            <v>1500000</v>
          </cell>
          <cell r="AK12">
            <v>978667</v>
          </cell>
        </row>
        <row r="13">
          <cell r="I13">
            <v>0</v>
          </cell>
          <cell r="K13">
            <v>22844700</v>
          </cell>
          <cell r="O13">
            <v>0</v>
          </cell>
          <cell r="Q13">
            <v>17628200</v>
          </cell>
          <cell r="U13">
            <v>468143</v>
          </cell>
          <cell r="W13">
            <v>18100300</v>
          </cell>
          <cell r="AA13">
            <v>0</v>
          </cell>
          <cell r="AE13">
            <v>500000</v>
          </cell>
        </row>
        <row r="14">
          <cell r="I14">
            <v>0</v>
          </cell>
          <cell r="K14">
            <v>33836700</v>
          </cell>
          <cell r="O14">
            <v>0</v>
          </cell>
          <cell r="Q14">
            <v>35011900</v>
          </cell>
          <cell r="U14">
            <v>16524277.999999998</v>
          </cell>
          <cell r="W14">
            <v>28315600</v>
          </cell>
          <cell r="AA14">
            <v>0</v>
          </cell>
        </row>
        <row r="15">
          <cell r="I15">
            <v>0</v>
          </cell>
          <cell r="K15">
            <v>37265600</v>
          </cell>
          <cell r="O15">
            <v>4649600</v>
          </cell>
          <cell r="Q15">
            <v>39350100</v>
          </cell>
          <cell r="U15">
            <v>476914.99999999994</v>
          </cell>
          <cell r="W15">
            <v>26535000</v>
          </cell>
          <cell r="AA15">
            <v>7002100</v>
          </cell>
          <cell r="AI15">
            <v>3000000</v>
          </cell>
        </row>
        <row r="16">
          <cell r="I16">
            <v>0</v>
          </cell>
          <cell r="K16">
            <v>20561500</v>
          </cell>
          <cell r="O16">
            <v>0</v>
          </cell>
          <cell r="Q16">
            <v>51810000</v>
          </cell>
          <cell r="U16">
            <v>40080879</v>
          </cell>
          <cell r="W16">
            <v>24332000</v>
          </cell>
          <cell r="AA16">
            <v>0</v>
          </cell>
        </row>
        <row r="17">
          <cell r="I17">
            <v>0</v>
          </cell>
          <cell r="K17">
            <v>4727500</v>
          </cell>
          <cell r="O17">
            <v>0</v>
          </cell>
          <cell r="Q17">
            <v>16366400</v>
          </cell>
          <cell r="U17">
            <v>22929486</v>
          </cell>
          <cell r="W17">
            <v>17784400</v>
          </cell>
          <cell r="AA17">
            <v>0</v>
          </cell>
          <cell r="AK17">
            <v>587764</v>
          </cell>
        </row>
        <row r="18">
          <cell r="I18">
            <v>0</v>
          </cell>
          <cell r="K18">
            <v>58893000</v>
          </cell>
          <cell r="O18">
            <v>32701400</v>
          </cell>
          <cell r="Q18">
            <v>40013300</v>
          </cell>
          <cell r="U18">
            <v>15222325</v>
          </cell>
          <cell r="W18">
            <v>36529400</v>
          </cell>
          <cell r="AA18">
            <v>11669800</v>
          </cell>
          <cell r="AC18">
            <v>600000</v>
          </cell>
        </row>
        <row r="19">
          <cell r="I19">
            <v>0</v>
          </cell>
          <cell r="K19">
            <v>12987700</v>
          </cell>
          <cell r="O19">
            <v>0</v>
          </cell>
          <cell r="Q19">
            <v>23141000</v>
          </cell>
          <cell r="U19">
            <v>35982492</v>
          </cell>
          <cell r="W19">
            <v>10673300</v>
          </cell>
          <cell r="AA19">
            <v>0</v>
          </cell>
        </row>
        <row r="20">
          <cell r="I20">
            <v>0</v>
          </cell>
          <cell r="K20">
            <v>14719300</v>
          </cell>
          <cell r="O20">
            <v>0</v>
          </cell>
          <cell r="Q20">
            <v>7337800</v>
          </cell>
          <cell r="U20">
            <v>525311</v>
          </cell>
          <cell r="W20">
            <v>13382500</v>
          </cell>
          <cell r="AA20">
            <v>0</v>
          </cell>
          <cell r="AC20">
            <v>1500000</v>
          </cell>
          <cell r="AG20">
            <v>900000</v>
          </cell>
        </row>
        <row r="21">
          <cell r="I21">
            <v>0</v>
          </cell>
          <cell r="K21">
            <v>21074200</v>
          </cell>
          <cell r="O21">
            <v>0</v>
          </cell>
          <cell r="Q21">
            <v>35842600</v>
          </cell>
          <cell r="U21">
            <v>25334169</v>
          </cell>
          <cell r="W21">
            <v>19664700</v>
          </cell>
          <cell r="AA21">
            <v>0</v>
          </cell>
          <cell r="AG21">
            <v>1200000</v>
          </cell>
        </row>
        <row r="22">
          <cell r="I22">
            <v>0</v>
          </cell>
          <cell r="K22">
            <v>25796700</v>
          </cell>
          <cell r="O22">
            <v>0</v>
          </cell>
          <cell r="Q22">
            <v>27840300</v>
          </cell>
          <cell r="U22">
            <v>389829</v>
          </cell>
          <cell r="W22">
            <v>10556100</v>
          </cell>
          <cell r="AA22">
            <v>0</v>
          </cell>
          <cell r="AC22">
            <v>1500000</v>
          </cell>
          <cell r="AE22">
            <v>500000</v>
          </cell>
        </row>
        <row r="23">
          <cell r="I23">
            <v>0</v>
          </cell>
          <cell r="K23">
            <v>93266400</v>
          </cell>
          <cell r="O23">
            <v>28705600</v>
          </cell>
          <cell r="Q23">
            <v>58823200</v>
          </cell>
          <cell r="U23">
            <v>15732451</v>
          </cell>
          <cell r="W23">
            <v>17834500</v>
          </cell>
          <cell r="AA23">
            <v>380400</v>
          </cell>
          <cell r="AC23">
            <v>600000</v>
          </cell>
          <cell r="AK23">
            <v>1057484</v>
          </cell>
        </row>
        <row r="24">
          <cell r="I24">
            <v>0</v>
          </cell>
          <cell r="K24">
            <v>26291500</v>
          </cell>
          <cell r="O24">
            <v>0</v>
          </cell>
          <cell r="Q24">
            <v>32300900</v>
          </cell>
          <cell r="U24">
            <v>7257947</v>
          </cell>
          <cell r="W24">
            <v>11785300</v>
          </cell>
          <cell r="AA24">
            <v>0</v>
          </cell>
          <cell r="AE24">
            <v>1500000</v>
          </cell>
        </row>
        <row r="25">
          <cell r="I25">
            <v>0</v>
          </cell>
          <cell r="K25">
            <v>36631700</v>
          </cell>
          <cell r="O25">
            <v>440300</v>
          </cell>
          <cell r="Q25">
            <v>48506100</v>
          </cell>
          <cell r="U25">
            <v>661748</v>
          </cell>
          <cell r="W25">
            <v>15572100</v>
          </cell>
          <cell r="AA25">
            <v>786400</v>
          </cell>
          <cell r="AC25">
            <v>300000</v>
          </cell>
          <cell r="AG25">
            <v>1500000</v>
          </cell>
          <cell r="AI25">
            <v>1800000</v>
          </cell>
          <cell r="AK25">
            <v>1409475</v>
          </cell>
        </row>
        <row r="28">
          <cell r="I28">
            <v>0</v>
          </cell>
          <cell r="Q28">
            <v>211781600</v>
          </cell>
          <cell r="U28">
            <v>71030285</v>
          </cell>
          <cell r="AE28">
            <v>1200000</v>
          </cell>
        </row>
        <row r="29">
          <cell r="I29">
            <v>0</v>
          </cell>
          <cell r="Q29">
            <v>402188100</v>
          </cell>
          <cell r="U29">
            <v>222946798</v>
          </cell>
          <cell r="AG29">
            <v>600000</v>
          </cell>
        </row>
        <row r="37">
          <cell r="F37">
            <v>6430000</v>
          </cell>
        </row>
        <row r="38">
          <cell r="F38">
            <v>0</v>
          </cell>
        </row>
        <row r="39">
          <cell r="F39">
            <v>0</v>
          </cell>
        </row>
        <row r="40">
          <cell r="F40">
            <v>0</v>
          </cell>
        </row>
        <row r="41">
          <cell r="F41">
            <v>0</v>
          </cell>
        </row>
        <row r="42">
          <cell r="F42">
            <v>0</v>
          </cell>
        </row>
        <row r="43">
          <cell r="F43">
            <v>2754734500</v>
          </cell>
        </row>
      </sheetData>
      <sheetData sheetId="54" refreshError="1"/>
      <sheetData sheetId="55">
        <row r="9">
          <cell r="E9">
            <v>3595.9020000000005</v>
          </cell>
          <cell r="F9">
            <v>0</v>
          </cell>
          <cell r="G9">
            <v>0</v>
          </cell>
          <cell r="J9">
            <v>1304</v>
          </cell>
          <cell r="K9">
            <v>1260</v>
          </cell>
          <cell r="L9">
            <v>5006</v>
          </cell>
          <cell r="M9">
            <v>937.85</v>
          </cell>
          <cell r="N9">
            <v>584.20000000000005</v>
          </cell>
          <cell r="O9">
            <v>50.25</v>
          </cell>
          <cell r="P9">
            <v>5255</v>
          </cell>
          <cell r="Q9">
            <v>193</v>
          </cell>
          <cell r="R9">
            <v>1833.9</v>
          </cell>
          <cell r="S9">
            <v>477</v>
          </cell>
          <cell r="T9">
            <v>21900</v>
          </cell>
          <cell r="U9">
            <v>116580.208</v>
          </cell>
          <cell r="V9">
            <v>0</v>
          </cell>
          <cell r="W9">
            <v>1.5</v>
          </cell>
          <cell r="X9">
            <v>1892</v>
          </cell>
          <cell r="Z9">
            <v>592.79999999999995</v>
          </cell>
          <cell r="AA9">
            <v>302.2</v>
          </cell>
          <cell r="AB9">
            <v>1360</v>
          </cell>
          <cell r="AC9">
            <v>683</v>
          </cell>
          <cell r="AD9">
            <v>1401.9</v>
          </cell>
          <cell r="AE9">
            <v>3</v>
          </cell>
          <cell r="AF9">
            <v>770</v>
          </cell>
        </row>
        <row r="10">
          <cell r="E10">
            <v>2506.5450000000001</v>
          </cell>
          <cell r="F10">
            <v>0</v>
          </cell>
          <cell r="G10">
            <v>0</v>
          </cell>
          <cell r="J10">
            <v>1540</v>
          </cell>
          <cell r="K10">
            <v>4818</v>
          </cell>
          <cell r="L10">
            <v>30469</v>
          </cell>
          <cell r="M10">
            <v>5627.5</v>
          </cell>
          <cell r="N10">
            <v>1056.2</v>
          </cell>
          <cell r="O10">
            <v>251.3</v>
          </cell>
          <cell r="P10">
            <v>19963</v>
          </cell>
          <cell r="Q10">
            <v>2026.1</v>
          </cell>
          <cell r="R10">
            <v>5948.4</v>
          </cell>
          <cell r="S10">
            <v>481.3</v>
          </cell>
          <cell r="T10">
            <v>146936</v>
          </cell>
          <cell r="U10">
            <v>365300.42</v>
          </cell>
          <cell r="V10">
            <v>0</v>
          </cell>
          <cell r="W10">
            <v>9</v>
          </cell>
          <cell r="X10">
            <v>2238</v>
          </cell>
          <cell r="Z10">
            <v>1130.7</v>
          </cell>
          <cell r="AA10">
            <v>421.3</v>
          </cell>
          <cell r="AB10">
            <v>4150</v>
          </cell>
          <cell r="AC10">
            <v>1627</v>
          </cell>
          <cell r="AD10">
            <v>1954.8</v>
          </cell>
          <cell r="AE10">
            <v>0</v>
          </cell>
          <cell r="AF10">
            <v>824.5</v>
          </cell>
        </row>
        <row r="11">
          <cell r="E11">
            <v>2506.5450000000001</v>
          </cell>
          <cell r="F11">
            <v>0</v>
          </cell>
          <cell r="G11">
            <v>0</v>
          </cell>
          <cell r="J11">
            <v>1060</v>
          </cell>
          <cell r="K11">
            <v>6052</v>
          </cell>
          <cell r="L11">
            <v>13387</v>
          </cell>
          <cell r="M11">
            <v>1964.87</v>
          </cell>
          <cell r="N11">
            <v>1061.5999999999999</v>
          </cell>
          <cell r="O11">
            <v>251.25</v>
          </cell>
          <cell r="P11">
            <v>15850</v>
          </cell>
          <cell r="Q11">
            <v>482.4</v>
          </cell>
          <cell r="R11">
            <v>2414.6999999999998</v>
          </cell>
          <cell r="S11">
            <v>477.5</v>
          </cell>
          <cell r="T11">
            <v>106504</v>
          </cell>
          <cell r="U11">
            <v>186247.274</v>
          </cell>
          <cell r="V11">
            <v>0</v>
          </cell>
          <cell r="W11">
            <v>4.5</v>
          </cell>
          <cell r="X11">
            <v>2387</v>
          </cell>
          <cell r="Z11">
            <v>592.6</v>
          </cell>
          <cell r="AA11">
            <v>509.3</v>
          </cell>
          <cell r="AB11">
            <v>2800</v>
          </cell>
          <cell r="AC11">
            <v>1293</v>
          </cell>
          <cell r="AD11">
            <v>1195.4000000000001</v>
          </cell>
          <cell r="AE11">
            <v>5</v>
          </cell>
          <cell r="AF11">
            <v>882</v>
          </cell>
        </row>
        <row r="12">
          <cell r="E12">
            <v>1198.6340000000002</v>
          </cell>
          <cell r="F12">
            <v>0</v>
          </cell>
          <cell r="G12">
            <v>0</v>
          </cell>
          <cell r="J12">
            <v>2543</v>
          </cell>
          <cell r="K12">
            <v>4156</v>
          </cell>
          <cell r="L12">
            <v>13109</v>
          </cell>
          <cell r="M12">
            <v>2974.24</v>
          </cell>
          <cell r="N12">
            <v>1087.2</v>
          </cell>
          <cell r="O12">
            <v>251.25</v>
          </cell>
          <cell r="P12">
            <v>13903</v>
          </cell>
          <cell r="Q12">
            <v>96.5</v>
          </cell>
          <cell r="R12">
            <v>3018.8</v>
          </cell>
          <cell r="S12">
            <v>498.7</v>
          </cell>
          <cell r="T12">
            <v>35754</v>
          </cell>
          <cell r="U12">
            <v>271190.49200000003</v>
          </cell>
          <cell r="V12">
            <v>0</v>
          </cell>
          <cell r="W12">
            <v>12.5</v>
          </cell>
          <cell r="X12">
            <v>1893</v>
          </cell>
          <cell r="Z12">
            <v>606.79999999999995</v>
          </cell>
          <cell r="AA12">
            <v>404.7</v>
          </cell>
          <cell r="AB12">
            <v>2800</v>
          </cell>
          <cell r="AC12">
            <v>842</v>
          </cell>
          <cell r="AD12">
            <v>1721.1</v>
          </cell>
          <cell r="AE12">
            <v>0</v>
          </cell>
          <cell r="AF12">
            <v>853.3</v>
          </cell>
        </row>
        <row r="13">
          <cell r="E13">
            <v>1282.588</v>
          </cell>
          <cell r="F13">
            <v>0</v>
          </cell>
          <cell r="G13">
            <v>0</v>
          </cell>
          <cell r="J13">
            <v>2258</v>
          </cell>
          <cell r="K13">
            <v>4724</v>
          </cell>
          <cell r="L13">
            <v>9801</v>
          </cell>
          <cell r="M13">
            <v>1451.22</v>
          </cell>
          <cell r="N13">
            <v>1248.5</v>
          </cell>
          <cell r="O13">
            <v>201</v>
          </cell>
          <cell r="P13">
            <v>15392</v>
          </cell>
          <cell r="Q13">
            <v>289.39999999999998</v>
          </cell>
          <cell r="R13">
            <v>2414.6999999999998</v>
          </cell>
          <cell r="S13">
            <v>473.8</v>
          </cell>
          <cell r="T13">
            <v>72440</v>
          </cell>
          <cell r="U13">
            <v>207799.598</v>
          </cell>
          <cell r="V13">
            <v>0</v>
          </cell>
          <cell r="W13">
            <v>5</v>
          </cell>
          <cell r="X13">
            <v>1720</v>
          </cell>
          <cell r="Z13">
            <v>597.79999999999995</v>
          </cell>
          <cell r="AA13">
            <v>169.8</v>
          </cell>
          <cell r="AB13">
            <v>1950</v>
          </cell>
          <cell r="AC13">
            <v>862</v>
          </cell>
          <cell r="AD13">
            <v>1594.8</v>
          </cell>
          <cell r="AE13">
            <v>4</v>
          </cell>
          <cell r="AF13">
            <v>834.1</v>
          </cell>
        </row>
        <row r="14">
          <cell r="E14">
            <v>2506.5450000000001</v>
          </cell>
          <cell r="F14">
            <v>0</v>
          </cell>
          <cell r="G14">
            <v>0</v>
          </cell>
          <cell r="J14">
            <v>1771</v>
          </cell>
          <cell r="K14">
            <v>1865</v>
          </cell>
          <cell r="L14">
            <v>7053</v>
          </cell>
          <cell r="M14">
            <v>1384.15</v>
          </cell>
          <cell r="N14">
            <v>588</v>
          </cell>
          <cell r="O14">
            <v>50.25</v>
          </cell>
          <cell r="P14">
            <v>11210</v>
          </cell>
          <cell r="Q14">
            <v>289.39999999999998</v>
          </cell>
          <cell r="R14">
            <v>1810.7</v>
          </cell>
          <cell r="S14">
            <v>546</v>
          </cell>
          <cell r="T14">
            <v>29070</v>
          </cell>
          <cell r="U14">
            <v>159505.04300000001</v>
          </cell>
          <cell r="V14">
            <v>0</v>
          </cell>
          <cell r="W14">
            <v>3</v>
          </cell>
          <cell r="X14">
            <v>2092</v>
          </cell>
          <cell r="Z14">
            <v>551</v>
          </cell>
          <cell r="AA14">
            <v>284</v>
          </cell>
          <cell r="AB14">
            <v>1850</v>
          </cell>
          <cell r="AC14">
            <v>662</v>
          </cell>
          <cell r="AD14">
            <v>1004.3</v>
          </cell>
          <cell r="AE14">
            <v>5</v>
          </cell>
          <cell r="AF14">
            <v>781.2</v>
          </cell>
        </row>
        <row r="15">
          <cell r="E15">
            <v>2506.5450000000001</v>
          </cell>
          <cell r="F15">
            <v>1223.9179999999999</v>
          </cell>
          <cell r="G15">
            <v>0</v>
          </cell>
          <cell r="J15">
            <v>2010</v>
          </cell>
          <cell r="K15">
            <v>4832</v>
          </cell>
          <cell r="L15">
            <v>9965</v>
          </cell>
          <cell r="M15">
            <v>1842.46</v>
          </cell>
          <cell r="N15">
            <v>1106.9000000000001</v>
          </cell>
          <cell r="O15">
            <v>251.25</v>
          </cell>
          <cell r="P15">
            <v>10261</v>
          </cell>
          <cell r="Q15">
            <v>385.9</v>
          </cell>
          <cell r="R15">
            <v>3018.8</v>
          </cell>
          <cell r="S15">
            <v>474.5</v>
          </cell>
          <cell r="T15">
            <v>72838</v>
          </cell>
          <cell r="U15">
            <v>204927.84700000001</v>
          </cell>
          <cell r="V15">
            <v>0</v>
          </cell>
          <cell r="W15">
            <v>2</v>
          </cell>
          <cell r="X15">
            <v>1600</v>
          </cell>
          <cell r="Z15">
            <v>567.9</v>
          </cell>
          <cell r="AA15">
            <v>453.7</v>
          </cell>
          <cell r="AB15">
            <v>2250</v>
          </cell>
          <cell r="AC15">
            <v>1292</v>
          </cell>
          <cell r="AD15">
            <v>1622.3</v>
          </cell>
          <cell r="AE15">
            <v>5</v>
          </cell>
          <cell r="AF15">
            <v>770</v>
          </cell>
        </row>
        <row r="16">
          <cell r="E16">
            <v>1198.6340000000002</v>
          </cell>
          <cell r="F16">
            <v>0</v>
          </cell>
          <cell r="G16">
            <v>0</v>
          </cell>
          <cell r="J16">
            <v>824</v>
          </cell>
          <cell r="K16">
            <v>5084</v>
          </cell>
          <cell r="L16">
            <v>12440</v>
          </cell>
          <cell r="M16">
            <v>2550</v>
          </cell>
          <cell r="N16">
            <v>1272.5</v>
          </cell>
          <cell r="O16">
            <v>150.75</v>
          </cell>
          <cell r="P16">
            <v>10470</v>
          </cell>
          <cell r="Q16">
            <v>193</v>
          </cell>
          <cell r="R16">
            <v>2414.6999999999998</v>
          </cell>
          <cell r="S16">
            <v>481.3</v>
          </cell>
          <cell r="T16">
            <v>61802</v>
          </cell>
          <cell r="U16">
            <v>168908.791</v>
          </cell>
          <cell r="V16">
            <v>0</v>
          </cell>
          <cell r="W16">
            <v>4</v>
          </cell>
          <cell r="X16">
            <v>1629</v>
          </cell>
          <cell r="Z16">
            <v>579.70000000000005</v>
          </cell>
          <cell r="AA16">
            <v>334</v>
          </cell>
          <cell r="AB16">
            <v>2550</v>
          </cell>
          <cell r="AC16">
            <v>1192</v>
          </cell>
          <cell r="AD16">
            <v>1675</v>
          </cell>
          <cell r="AE16">
            <v>3.2</v>
          </cell>
          <cell r="AF16">
            <v>834</v>
          </cell>
        </row>
        <row r="17">
          <cell r="E17">
            <v>2506.5450000000001</v>
          </cell>
          <cell r="F17">
            <v>0</v>
          </cell>
          <cell r="G17">
            <v>0</v>
          </cell>
          <cell r="J17">
            <v>1700</v>
          </cell>
          <cell r="K17">
            <v>1847</v>
          </cell>
          <cell r="L17">
            <v>6707</v>
          </cell>
          <cell r="M17">
            <v>1628.18</v>
          </cell>
          <cell r="N17">
            <v>581.9</v>
          </cell>
          <cell r="O17">
            <v>50.25</v>
          </cell>
          <cell r="P17">
            <v>13246</v>
          </cell>
          <cell r="Q17">
            <v>0</v>
          </cell>
          <cell r="R17">
            <v>1810.7</v>
          </cell>
          <cell r="S17">
            <v>635.6</v>
          </cell>
          <cell r="T17">
            <v>28373</v>
          </cell>
          <cell r="U17">
            <v>142933.29399999999</v>
          </cell>
          <cell r="V17">
            <v>0</v>
          </cell>
          <cell r="W17">
            <v>2</v>
          </cell>
          <cell r="X17">
            <v>1839</v>
          </cell>
          <cell r="Z17">
            <v>575.20000000000005</v>
          </cell>
          <cell r="AA17">
            <v>70.7</v>
          </cell>
          <cell r="AB17">
            <v>1600</v>
          </cell>
          <cell r="AC17">
            <v>982.9</v>
          </cell>
          <cell r="AD17">
            <v>1166.5999999999999</v>
          </cell>
          <cell r="AE17">
            <v>0</v>
          </cell>
          <cell r="AF17">
            <v>771.6</v>
          </cell>
        </row>
        <row r="18">
          <cell r="E18">
            <v>2397.2680000000005</v>
          </cell>
          <cell r="F18">
            <v>0</v>
          </cell>
          <cell r="G18">
            <v>0</v>
          </cell>
          <cell r="J18">
            <v>1310</v>
          </cell>
          <cell r="K18">
            <v>1915</v>
          </cell>
          <cell r="L18">
            <v>5699</v>
          </cell>
          <cell r="M18">
            <v>1158.1500000000001</v>
          </cell>
          <cell r="N18">
            <v>689</v>
          </cell>
          <cell r="O18">
            <v>100.5</v>
          </cell>
          <cell r="P18">
            <v>7579</v>
          </cell>
          <cell r="Q18">
            <v>868.3</v>
          </cell>
          <cell r="R18">
            <v>1810.7</v>
          </cell>
          <cell r="S18">
            <v>622.4</v>
          </cell>
          <cell r="T18">
            <v>41397</v>
          </cell>
          <cell r="U18">
            <v>101492.255</v>
          </cell>
          <cell r="V18">
            <v>0</v>
          </cell>
          <cell r="W18">
            <v>2.5</v>
          </cell>
          <cell r="X18">
            <v>1920</v>
          </cell>
          <cell r="Z18">
            <v>582.6</v>
          </cell>
          <cell r="AA18">
            <v>219.8</v>
          </cell>
          <cell r="AB18">
            <v>1300</v>
          </cell>
          <cell r="AC18">
            <v>1216.2080000000001</v>
          </cell>
          <cell r="AD18">
            <v>654.1</v>
          </cell>
          <cell r="AE18">
            <v>2</v>
          </cell>
          <cell r="AF18">
            <v>742.8</v>
          </cell>
        </row>
        <row r="19">
          <cell r="E19">
            <v>1198.6340000000002</v>
          </cell>
          <cell r="F19">
            <v>0</v>
          </cell>
          <cell r="G19">
            <v>611.86500000000001</v>
          </cell>
          <cell r="J19">
            <v>1970</v>
          </cell>
          <cell r="K19">
            <v>5560</v>
          </cell>
          <cell r="L19">
            <v>17322</v>
          </cell>
          <cell r="M19">
            <v>2986.1</v>
          </cell>
          <cell r="N19">
            <v>1102.3</v>
          </cell>
          <cell r="O19">
            <v>251.25</v>
          </cell>
          <cell r="P19">
            <v>12896</v>
          </cell>
          <cell r="Q19">
            <v>289.39999999999998</v>
          </cell>
          <cell r="R19">
            <v>3018.8</v>
          </cell>
          <cell r="S19">
            <v>460.3</v>
          </cell>
          <cell r="T19">
            <v>110007</v>
          </cell>
          <cell r="U19">
            <v>231126.87400000001</v>
          </cell>
          <cell r="V19">
            <v>0</v>
          </cell>
          <cell r="W19">
            <v>14.5</v>
          </cell>
          <cell r="X19">
            <v>2098</v>
          </cell>
          <cell r="Z19">
            <v>585.9</v>
          </cell>
          <cell r="AA19">
            <v>291.5</v>
          </cell>
          <cell r="AB19">
            <v>2350</v>
          </cell>
          <cell r="AC19">
            <v>1070</v>
          </cell>
          <cell r="AD19">
            <v>1765.9</v>
          </cell>
          <cell r="AE19">
            <v>4</v>
          </cell>
          <cell r="AF19">
            <v>824.4</v>
          </cell>
        </row>
        <row r="20">
          <cell r="E20">
            <v>1198.6340000000002</v>
          </cell>
          <cell r="F20">
            <v>0</v>
          </cell>
          <cell r="G20">
            <v>0</v>
          </cell>
          <cell r="J20">
            <v>1675</v>
          </cell>
          <cell r="K20">
            <v>3103</v>
          </cell>
          <cell r="L20">
            <v>7197</v>
          </cell>
          <cell r="M20">
            <v>1654.41</v>
          </cell>
          <cell r="N20">
            <v>585.4</v>
          </cell>
          <cell r="O20">
            <v>100.5</v>
          </cell>
          <cell r="P20">
            <v>8344</v>
          </cell>
          <cell r="Q20">
            <v>193</v>
          </cell>
          <cell r="R20">
            <v>1810.7</v>
          </cell>
          <cell r="S20">
            <v>517</v>
          </cell>
          <cell r="T20">
            <v>43955</v>
          </cell>
          <cell r="U20">
            <v>167592.20499999999</v>
          </cell>
          <cell r="V20">
            <v>0</v>
          </cell>
          <cell r="W20">
            <v>10</v>
          </cell>
          <cell r="X20">
            <v>2150</v>
          </cell>
          <cell r="Z20">
            <v>591.5</v>
          </cell>
          <cell r="AA20">
            <v>249</v>
          </cell>
          <cell r="AB20">
            <v>1300</v>
          </cell>
          <cell r="AC20">
            <v>1019.7919999999999</v>
          </cell>
          <cell r="AD20">
            <v>824</v>
          </cell>
          <cell r="AE20">
            <v>0</v>
          </cell>
          <cell r="AF20">
            <v>742.8</v>
          </cell>
        </row>
        <row r="21">
          <cell r="E21">
            <v>0</v>
          </cell>
          <cell r="F21">
            <v>0</v>
          </cell>
          <cell r="G21">
            <v>1223.73</v>
          </cell>
          <cell r="H21">
            <v>0</v>
          </cell>
          <cell r="I21">
            <v>0</v>
          </cell>
          <cell r="J21">
            <v>3170</v>
          </cell>
          <cell r="K21">
            <v>7335</v>
          </cell>
          <cell r="L21">
            <v>19055</v>
          </cell>
          <cell r="M21">
            <v>3289.01</v>
          </cell>
          <cell r="N21">
            <v>1098.3</v>
          </cell>
          <cell r="O21">
            <v>251.25</v>
          </cell>
          <cell r="P21">
            <v>17267</v>
          </cell>
          <cell r="Q21">
            <v>964.8</v>
          </cell>
          <cell r="R21">
            <v>4832.8</v>
          </cell>
          <cell r="S21">
            <v>509.9</v>
          </cell>
          <cell r="T21">
            <v>83553</v>
          </cell>
          <cell r="U21">
            <v>391537.77799999999</v>
          </cell>
          <cell r="V21">
            <v>0</v>
          </cell>
          <cell r="W21">
            <v>15.5</v>
          </cell>
          <cell r="X21">
            <v>1942</v>
          </cell>
          <cell r="Y21">
            <v>0</v>
          </cell>
          <cell r="Z21">
            <v>564.4</v>
          </cell>
          <cell r="AA21">
            <v>644.20000000000005</v>
          </cell>
          <cell r="AB21">
            <v>3700</v>
          </cell>
          <cell r="AC21">
            <v>965</v>
          </cell>
          <cell r="AD21">
            <v>2907.3</v>
          </cell>
          <cell r="AE21">
            <v>7</v>
          </cell>
          <cell r="AF21">
            <v>872.5</v>
          </cell>
        </row>
        <row r="22">
          <cell r="E22">
            <v>1198.6340000000002</v>
          </cell>
          <cell r="F22">
            <v>0</v>
          </cell>
          <cell r="G22">
            <v>0</v>
          </cell>
          <cell r="H22">
            <v>0</v>
          </cell>
          <cell r="I22">
            <v>0</v>
          </cell>
          <cell r="J22">
            <v>1350</v>
          </cell>
          <cell r="K22">
            <v>2856</v>
          </cell>
          <cell r="L22">
            <v>6900</v>
          </cell>
          <cell r="M22">
            <v>1510.09</v>
          </cell>
          <cell r="N22">
            <v>544.79999999999995</v>
          </cell>
          <cell r="O22">
            <v>50.25</v>
          </cell>
          <cell r="P22">
            <v>5448</v>
          </cell>
          <cell r="Q22">
            <v>96.5</v>
          </cell>
          <cell r="R22">
            <v>1810.7</v>
          </cell>
          <cell r="S22">
            <v>578.1</v>
          </cell>
          <cell r="T22">
            <v>42145</v>
          </cell>
          <cell r="U22">
            <v>139921.48499999999</v>
          </cell>
          <cell r="V22">
            <v>0</v>
          </cell>
          <cell r="W22">
            <v>1</v>
          </cell>
          <cell r="X22">
            <v>1814</v>
          </cell>
          <cell r="Y22">
            <v>0</v>
          </cell>
          <cell r="Z22">
            <v>596.5</v>
          </cell>
          <cell r="AA22">
            <v>362.2</v>
          </cell>
          <cell r="AB22">
            <v>2000</v>
          </cell>
          <cell r="AC22">
            <v>922</v>
          </cell>
          <cell r="AD22">
            <v>1321.3</v>
          </cell>
          <cell r="AE22">
            <v>2</v>
          </cell>
          <cell r="AF22">
            <v>843.7</v>
          </cell>
        </row>
        <row r="23">
          <cell r="E23">
            <v>4903.8130000000001</v>
          </cell>
          <cell r="F23">
            <v>0</v>
          </cell>
          <cell r="G23">
            <v>0</v>
          </cell>
          <cell r="J23">
            <v>2200</v>
          </cell>
          <cell r="K23">
            <v>3158</v>
          </cell>
          <cell r="L23">
            <v>8953</v>
          </cell>
          <cell r="M23">
            <v>2253.25</v>
          </cell>
          <cell r="N23">
            <v>1127.5999999999999</v>
          </cell>
          <cell r="O23">
            <v>50.25</v>
          </cell>
          <cell r="P23">
            <v>4346</v>
          </cell>
          <cell r="Q23">
            <v>96.5</v>
          </cell>
          <cell r="R23">
            <v>1810.7</v>
          </cell>
          <cell r="S23">
            <v>480.7</v>
          </cell>
          <cell r="T23">
            <v>40158</v>
          </cell>
          <cell r="U23">
            <v>201661.65700000001</v>
          </cell>
          <cell r="V23">
            <v>0</v>
          </cell>
          <cell r="W23">
            <v>3</v>
          </cell>
          <cell r="X23">
            <v>2254</v>
          </cell>
          <cell r="Z23">
            <v>596.70000000000005</v>
          </cell>
          <cell r="AA23">
            <v>268.8</v>
          </cell>
          <cell r="AB23">
            <v>1921.1890000000001</v>
          </cell>
          <cell r="AC23">
            <v>792</v>
          </cell>
          <cell r="AD23">
            <v>1223.5999999999999</v>
          </cell>
          <cell r="AE23">
            <v>4</v>
          </cell>
          <cell r="AF23">
            <v>770</v>
          </cell>
        </row>
        <row r="24">
          <cell r="E24">
            <v>2506.5450000000001</v>
          </cell>
          <cell r="F24">
            <v>0</v>
          </cell>
          <cell r="G24">
            <v>0</v>
          </cell>
          <cell r="J24">
            <v>1690</v>
          </cell>
          <cell r="K24">
            <v>6909</v>
          </cell>
          <cell r="L24">
            <v>18960</v>
          </cell>
          <cell r="M24">
            <v>4033.91</v>
          </cell>
          <cell r="N24">
            <v>1117</v>
          </cell>
          <cell r="O24">
            <v>251.25</v>
          </cell>
          <cell r="P24">
            <v>17486</v>
          </cell>
          <cell r="Q24">
            <v>675.4</v>
          </cell>
          <cell r="R24">
            <v>3599.8</v>
          </cell>
          <cell r="S24">
            <v>465.6</v>
          </cell>
          <cell r="T24">
            <v>102668</v>
          </cell>
          <cell r="U24">
            <v>255171.37100000001</v>
          </cell>
          <cell r="V24">
            <v>857</v>
          </cell>
          <cell r="W24">
            <v>10.5</v>
          </cell>
          <cell r="X24">
            <v>1848</v>
          </cell>
          <cell r="Z24">
            <v>1183</v>
          </cell>
          <cell r="AA24">
            <v>390.5</v>
          </cell>
          <cell r="AB24">
            <v>3491.922</v>
          </cell>
          <cell r="AC24">
            <v>1220</v>
          </cell>
          <cell r="AD24">
            <v>2343.1</v>
          </cell>
          <cell r="AE24">
            <v>6</v>
          </cell>
          <cell r="AF24">
            <v>901.3</v>
          </cell>
        </row>
        <row r="25">
          <cell r="E25">
            <v>0</v>
          </cell>
          <cell r="F25">
            <v>0</v>
          </cell>
          <cell r="G25">
            <v>611.86500000000001</v>
          </cell>
          <cell r="J25">
            <v>1950</v>
          </cell>
          <cell r="K25">
            <v>2960</v>
          </cell>
          <cell r="L25">
            <v>7791</v>
          </cell>
          <cell r="M25">
            <v>1635.67</v>
          </cell>
          <cell r="N25">
            <v>576</v>
          </cell>
          <cell r="O25">
            <v>100.5</v>
          </cell>
          <cell r="P25">
            <v>7643</v>
          </cell>
          <cell r="Q25">
            <v>385.9</v>
          </cell>
          <cell r="R25">
            <v>1810.7</v>
          </cell>
          <cell r="S25">
            <v>448.8</v>
          </cell>
          <cell r="T25">
            <v>28272</v>
          </cell>
          <cell r="U25">
            <v>150121.58799999999</v>
          </cell>
          <cell r="V25">
            <v>0</v>
          </cell>
          <cell r="W25">
            <v>4</v>
          </cell>
          <cell r="X25">
            <v>3535</v>
          </cell>
          <cell r="Z25">
            <v>569.20000000000005</v>
          </cell>
          <cell r="AA25">
            <v>191.5</v>
          </cell>
          <cell r="AB25">
            <v>1400</v>
          </cell>
          <cell r="AC25">
            <v>664.3</v>
          </cell>
          <cell r="AD25">
            <v>1305.4000000000001</v>
          </cell>
          <cell r="AE25">
            <v>0</v>
          </cell>
          <cell r="AF25">
            <v>770</v>
          </cell>
        </row>
        <row r="26">
          <cell r="E26">
            <v>3705.1789999999996</v>
          </cell>
          <cell r="F26">
            <v>0</v>
          </cell>
          <cell r="G26">
            <v>0</v>
          </cell>
          <cell r="J26">
            <v>1341</v>
          </cell>
          <cell r="K26">
            <v>3646</v>
          </cell>
          <cell r="L26">
            <v>13018</v>
          </cell>
          <cell r="M26">
            <v>3588.01</v>
          </cell>
          <cell r="N26">
            <v>1149.7</v>
          </cell>
          <cell r="O26">
            <v>100.5</v>
          </cell>
          <cell r="P26">
            <v>8874</v>
          </cell>
          <cell r="Q26">
            <v>482.4</v>
          </cell>
          <cell r="R26">
            <v>2414.6999999999998</v>
          </cell>
          <cell r="S26">
            <v>461.3</v>
          </cell>
          <cell r="T26">
            <v>65838</v>
          </cell>
          <cell r="U26">
            <v>211037.391</v>
          </cell>
          <cell r="V26">
            <v>0</v>
          </cell>
          <cell r="W26">
            <v>13.5</v>
          </cell>
          <cell r="X26">
            <v>2260</v>
          </cell>
          <cell r="Z26">
            <v>706.2</v>
          </cell>
          <cell r="AA26">
            <v>355</v>
          </cell>
          <cell r="AB26">
            <v>2650</v>
          </cell>
          <cell r="AC26">
            <v>1120</v>
          </cell>
          <cell r="AD26">
            <v>1820.6</v>
          </cell>
          <cell r="AE26">
            <v>2</v>
          </cell>
          <cell r="AF26">
            <v>882.8</v>
          </cell>
        </row>
        <row r="29">
          <cell r="E29">
            <v>3595.902</v>
          </cell>
          <cell r="F29">
            <v>611.96199999999999</v>
          </cell>
          <cell r="G29">
            <v>1223.73</v>
          </cell>
          <cell r="I29">
            <v>1000</v>
          </cell>
          <cell r="J29">
            <v>0</v>
          </cell>
          <cell r="K29">
            <v>19941</v>
          </cell>
          <cell r="L29">
            <v>40909</v>
          </cell>
          <cell r="M29">
            <v>4965.13</v>
          </cell>
          <cell r="N29">
            <v>1225.7</v>
          </cell>
          <cell r="O29">
            <v>502.5</v>
          </cell>
          <cell r="P29">
            <v>30496</v>
          </cell>
          <cell r="Q29">
            <v>1254.2</v>
          </cell>
          <cell r="R29">
            <v>4832.1000000000004</v>
          </cell>
          <cell r="S29">
            <v>952.6</v>
          </cell>
          <cell r="T29">
            <v>324539</v>
          </cell>
          <cell r="U29">
            <v>338665.81099999999</v>
          </cell>
          <cell r="V29">
            <v>10836</v>
          </cell>
          <cell r="W29">
            <v>25</v>
          </cell>
          <cell r="X29">
            <v>4093</v>
          </cell>
          <cell r="Y29">
            <v>3000</v>
          </cell>
          <cell r="Z29">
            <v>1212.7</v>
          </cell>
          <cell r="AA29">
            <v>1133.8</v>
          </cell>
          <cell r="AB29">
            <v>3839.12</v>
          </cell>
          <cell r="AC29">
            <v>2380</v>
          </cell>
          <cell r="AE29">
            <v>17</v>
          </cell>
        </row>
        <row r="30">
          <cell r="E30">
            <v>9916.9080000000013</v>
          </cell>
          <cell r="F30">
            <v>6119.62</v>
          </cell>
          <cell r="G30">
            <v>10401.709999999999</v>
          </cell>
          <cell r="I30">
            <v>3329.3</v>
          </cell>
          <cell r="J30">
            <v>0</v>
          </cell>
          <cell r="K30">
            <v>122150</v>
          </cell>
          <cell r="L30">
            <v>211688</v>
          </cell>
          <cell r="M30">
            <v>23820</v>
          </cell>
          <cell r="N30">
            <v>5851.8</v>
          </cell>
          <cell r="O30">
            <v>1005</v>
          </cell>
          <cell r="P30">
            <v>99040.4</v>
          </cell>
          <cell r="Q30">
            <v>6753.7</v>
          </cell>
          <cell r="R30">
            <v>23705.3</v>
          </cell>
          <cell r="S30">
            <v>1009.1</v>
          </cell>
          <cell r="T30">
            <v>1627560</v>
          </cell>
          <cell r="U30">
            <v>1981477.0180000002</v>
          </cell>
          <cell r="V30">
            <v>24605</v>
          </cell>
          <cell r="W30">
            <v>102</v>
          </cell>
          <cell r="X30">
            <v>8606</v>
          </cell>
          <cell r="Y30">
            <v>7000</v>
          </cell>
          <cell r="Z30">
            <v>5594.4</v>
          </cell>
          <cell r="AA30">
            <v>6444</v>
          </cell>
          <cell r="AB30">
            <v>19413</v>
          </cell>
          <cell r="AC30">
            <v>10310</v>
          </cell>
          <cell r="AE30">
            <v>70</v>
          </cell>
        </row>
        <row r="37">
          <cell r="D37">
            <v>10670853031</v>
          </cell>
        </row>
      </sheetData>
      <sheetData sheetId="56" refreshError="1"/>
      <sheetData sheetId="57" refreshError="1"/>
      <sheetData sheetId="58" refreshError="1"/>
      <sheetData sheetId="59" refreshError="1"/>
      <sheetData sheetId="60">
        <row r="10">
          <cell r="C10">
            <v>67160945.980000004</v>
          </cell>
          <cell r="AI10">
            <v>132000</v>
          </cell>
          <cell r="AM10">
            <v>3351175.2</v>
          </cell>
          <cell r="AO10">
            <v>44315.02</v>
          </cell>
          <cell r="CI10">
            <v>6174.65</v>
          </cell>
          <cell r="CK10">
            <v>27785.85</v>
          </cell>
          <cell r="CU10">
            <v>54347.83</v>
          </cell>
          <cell r="CW10">
            <v>0</v>
          </cell>
          <cell r="CY10">
            <v>0</v>
          </cell>
          <cell r="DA10">
            <v>6204.71</v>
          </cell>
          <cell r="DC10">
            <v>0</v>
          </cell>
          <cell r="DE10">
            <v>0</v>
          </cell>
          <cell r="DU10">
            <v>377507.09</v>
          </cell>
          <cell r="EA10">
            <v>970725.91</v>
          </cell>
          <cell r="EY10">
            <v>52650</v>
          </cell>
          <cell r="FG10">
            <v>1207290</v>
          </cell>
          <cell r="FS10">
            <v>6426129</v>
          </cell>
          <cell r="GY10">
            <v>643334</v>
          </cell>
          <cell r="HO10">
            <v>0</v>
          </cell>
          <cell r="II10">
            <v>1762177.25</v>
          </cell>
          <cell r="LK10">
            <v>329477.78000000003</v>
          </cell>
          <cell r="LS10">
            <v>16881300</v>
          </cell>
          <cell r="NA10">
            <v>3150000</v>
          </cell>
          <cell r="NU10">
            <v>4139200</v>
          </cell>
          <cell r="OA10">
            <v>235161.52</v>
          </cell>
          <cell r="OC10">
            <v>274682.63</v>
          </cell>
          <cell r="PM10">
            <v>15013339</v>
          </cell>
          <cell r="PW10">
            <v>12075968.540000001</v>
          </cell>
        </row>
        <row r="11">
          <cell r="AI11">
            <v>220000</v>
          </cell>
          <cell r="AM11">
            <v>1603030.79</v>
          </cell>
          <cell r="AO11">
            <v>100658.39</v>
          </cell>
          <cell r="BY11">
            <v>5763733.3300000001</v>
          </cell>
          <cell r="CE11">
            <v>14819600</v>
          </cell>
          <cell r="CI11">
            <v>16883.75</v>
          </cell>
          <cell r="CQ11">
            <v>24000000</v>
          </cell>
          <cell r="CU11">
            <v>115217.39</v>
          </cell>
          <cell r="CW11">
            <v>0</v>
          </cell>
          <cell r="CY11">
            <v>0</v>
          </cell>
          <cell r="DA11">
            <v>13153.99</v>
          </cell>
          <cell r="DC11">
            <v>0</v>
          </cell>
          <cell r="DE11">
            <v>0</v>
          </cell>
          <cell r="DU11">
            <v>560002.74</v>
          </cell>
          <cell r="EA11">
            <v>1439997.26</v>
          </cell>
          <cell r="EU11">
            <v>222813.59</v>
          </cell>
          <cell r="EY11">
            <v>136890</v>
          </cell>
          <cell r="FS11">
            <v>945720</v>
          </cell>
          <cell r="GC11">
            <v>12278353.279999999</v>
          </cell>
          <cell r="GE11">
            <v>15907764.060000001</v>
          </cell>
          <cell r="GG11">
            <v>15907764.060000001</v>
          </cell>
          <cell r="GI11">
            <v>646229.12</v>
          </cell>
          <cell r="GK11">
            <v>837250.74</v>
          </cell>
          <cell r="GY11">
            <v>215001</v>
          </cell>
          <cell r="HA11">
            <v>215001</v>
          </cell>
          <cell r="HO11">
            <v>213516.06</v>
          </cell>
          <cell r="II11">
            <v>10635662</v>
          </cell>
          <cell r="IS11">
            <v>56349.46</v>
          </cell>
          <cell r="LK11">
            <v>621679.2300000001</v>
          </cell>
          <cell r="LO11">
            <v>15459000</v>
          </cell>
          <cell r="LS11">
            <v>18350844</v>
          </cell>
          <cell r="LU11">
            <v>2620378</v>
          </cell>
          <cell r="MM11">
            <v>24540000</v>
          </cell>
          <cell r="MS11">
            <v>1572757</v>
          </cell>
          <cell r="MU11">
            <v>1572757</v>
          </cell>
          <cell r="NA11">
            <v>9450000</v>
          </cell>
          <cell r="NC11">
            <v>14184000</v>
          </cell>
          <cell r="NE11">
            <v>14184000</v>
          </cell>
          <cell r="NU11">
            <v>7344000</v>
          </cell>
          <cell r="NW11">
            <v>5904000</v>
          </cell>
          <cell r="NY11">
            <v>5904000</v>
          </cell>
          <cell r="OA11">
            <v>186450.88</v>
          </cell>
          <cell r="OC11">
            <v>785620.80999999994</v>
          </cell>
          <cell r="OE11">
            <v>150269.32</v>
          </cell>
          <cell r="OI11">
            <v>424805.26</v>
          </cell>
          <cell r="OK11">
            <v>424805.26</v>
          </cell>
          <cell r="OO11">
            <v>8071300</v>
          </cell>
          <cell r="OQ11">
            <v>8071300</v>
          </cell>
          <cell r="OU11">
            <v>400000</v>
          </cell>
          <cell r="OW11">
            <v>400000</v>
          </cell>
          <cell r="PA11">
            <v>7600000</v>
          </cell>
          <cell r="PC11">
            <v>7600000</v>
          </cell>
          <cell r="PM11">
            <v>40378110</v>
          </cell>
          <cell r="PO11">
            <v>28954915</v>
          </cell>
          <cell r="PW11">
            <v>0</v>
          </cell>
        </row>
        <row r="12">
          <cell r="W12">
            <v>143223.16</v>
          </cell>
          <cell r="Y12">
            <v>2721240</v>
          </cell>
          <cell r="AI12">
            <v>264000</v>
          </cell>
          <cell r="AM12">
            <v>3190600.88</v>
          </cell>
          <cell r="AO12">
            <v>58242.59</v>
          </cell>
          <cell r="AS12">
            <v>62825.599999999999</v>
          </cell>
          <cell r="CI12">
            <v>4823.92</v>
          </cell>
          <cell r="CK12">
            <v>8924.35</v>
          </cell>
          <cell r="CM12">
            <v>3859.15</v>
          </cell>
          <cell r="CU12">
            <v>36231.89</v>
          </cell>
          <cell r="CW12">
            <v>0</v>
          </cell>
          <cell r="CY12">
            <v>0</v>
          </cell>
          <cell r="DA12">
            <v>4136.47</v>
          </cell>
          <cell r="DC12">
            <v>0</v>
          </cell>
          <cell r="DE12">
            <v>0</v>
          </cell>
          <cell r="DG12">
            <v>32258.06</v>
          </cell>
          <cell r="DI12">
            <v>38709.68</v>
          </cell>
          <cell r="DK12">
            <v>19354.84</v>
          </cell>
          <cell r="DM12">
            <v>38854.839999999997</v>
          </cell>
          <cell r="DO12">
            <v>46625.8</v>
          </cell>
          <cell r="DQ12">
            <v>23312.9</v>
          </cell>
          <cell r="DS12">
            <v>84000.41</v>
          </cell>
          <cell r="DU12">
            <v>392001.92</v>
          </cell>
          <cell r="DY12">
            <v>215999.59</v>
          </cell>
          <cell r="EA12">
            <v>1007998.08</v>
          </cell>
          <cell r="EU12">
            <v>258101.41</v>
          </cell>
          <cell r="EW12">
            <v>92906.91</v>
          </cell>
          <cell r="EY12">
            <v>157950</v>
          </cell>
          <cell r="FG12">
            <v>1147068</v>
          </cell>
          <cell r="FI12">
            <v>375093</v>
          </cell>
          <cell r="FM12">
            <v>30620192</v>
          </cell>
          <cell r="FS12">
            <v>7699005</v>
          </cell>
          <cell r="GE12">
            <v>34765603.780000001</v>
          </cell>
          <cell r="GG12">
            <v>34765603.780000001</v>
          </cell>
          <cell r="GK12">
            <v>1829768.62</v>
          </cell>
          <cell r="GU12">
            <v>126954.68</v>
          </cell>
          <cell r="GY12">
            <v>299250</v>
          </cell>
          <cell r="HO12">
            <v>332303.08</v>
          </cell>
          <cell r="IG12">
            <v>7323931.4000000004</v>
          </cell>
          <cell r="II12">
            <v>6853543</v>
          </cell>
          <cell r="IK12">
            <v>3071541</v>
          </cell>
          <cell r="IU12">
            <v>149799.72</v>
          </cell>
          <cell r="IY12">
            <v>385199.28</v>
          </cell>
          <cell r="KU12">
            <v>570111.11</v>
          </cell>
          <cell r="LA12">
            <v>1466000</v>
          </cell>
          <cell r="LG12">
            <v>1998796.83</v>
          </cell>
          <cell r="LK12">
            <v>819248.66</v>
          </cell>
          <cell r="LM12">
            <v>3089181</v>
          </cell>
          <cell r="LS12">
            <v>17823437.600000001</v>
          </cell>
          <cell r="LU12">
            <v>15862287</v>
          </cell>
          <cell r="NA12">
            <v>9675000</v>
          </cell>
          <cell r="NC12">
            <v>3420000</v>
          </cell>
          <cell r="NE12">
            <v>3420000</v>
          </cell>
          <cell r="NU12">
            <v>1120000</v>
          </cell>
          <cell r="NW12">
            <v>2960000</v>
          </cell>
          <cell r="NY12">
            <v>2960000</v>
          </cell>
          <cell r="OA12">
            <v>345085.77</v>
          </cell>
          <cell r="OC12">
            <v>372279.43999999994</v>
          </cell>
          <cell r="OE12">
            <v>138796.39000000001</v>
          </cell>
          <cell r="OI12">
            <v>275000</v>
          </cell>
          <cell r="OK12">
            <v>275000</v>
          </cell>
          <cell r="OO12">
            <v>5225000</v>
          </cell>
          <cell r="OQ12">
            <v>5225000</v>
          </cell>
          <cell r="PM12">
            <v>45039274</v>
          </cell>
          <cell r="PO12">
            <v>32762560</v>
          </cell>
          <cell r="PS12">
            <v>6457539.0300000003</v>
          </cell>
          <cell r="PU12">
            <v>1330372.68</v>
          </cell>
          <cell r="PW12">
            <v>33699574.490000002</v>
          </cell>
        </row>
        <row r="13">
          <cell r="Q13">
            <v>210937.5</v>
          </cell>
          <cell r="AI13">
            <v>511000</v>
          </cell>
          <cell r="AM13">
            <v>7482163.8499999996</v>
          </cell>
          <cell r="AO13">
            <v>87996.96</v>
          </cell>
          <cell r="CI13">
            <v>7235.9</v>
          </cell>
          <cell r="CU13">
            <v>185507.25</v>
          </cell>
          <cell r="CW13">
            <v>0</v>
          </cell>
          <cell r="CY13">
            <v>0</v>
          </cell>
          <cell r="DA13">
            <v>21178.74</v>
          </cell>
          <cell r="DC13">
            <v>0</v>
          </cell>
          <cell r="DE13">
            <v>0</v>
          </cell>
          <cell r="DS13">
            <v>377507.37</v>
          </cell>
          <cell r="DY13">
            <v>970726.63</v>
          </cell>
          <cell r="EU13">
            <v>224401.53</v>
          </cell>
          <cell r="EW13">
            <v>248592.66</v>
          </cell>
          <cell r="EY13">
            <v>115830</v>
          </cell>
          <cell r="FG13">
            <v>2839140</v>
          </cell>
          <cell r="FK13">
            <v>22432392</v>
          </cell>
          <cell r="FM13">
            <v>16152489</v>
          </cell>
          <cell r="FS13">
            <v>6884523</v>
          </cell>
          <cell r="GY13">
            <v>340592.62</v>
          </cell>
          <cell r="HO13">
            <v>427032.13</v>
          </cell>
          <cell r="II13">
            <v>14920702.57</v>
          </cell>
          <cell r="JS13">
            <v>1277522.67</v>
          </cell>
          <cell r="JW13">
            <v>3285058.3099999996</v>
          </cell>
          <cell r="LK13">
            <v>578036.03</v>
          </cell>
          <cell r="LS13">
            <v>19165917</v>
          </cell>
          <cell r="NA13">
            <v>9450000</v>
          </cell>
          <cell r="NU13">
            <v>5510400</v>
          </cell>
          <cell r="OA13">
            <v>253246.43</v>
          </cell>
          <cell r="OC13">
            <v>288917.37000000005</v>
          </cell>
          <cell r="PM13">
            <v>18385243</v>
          </cell>
          <cell r="PW13">
            <v>0</v>
          </cell>
        </row>
        <row r="14">
          <cell r="AI14">
            <v>176000</v>
          </cell>
          <cell r="AM14">
            <v>3206061.58</v>
          </cell>
          <cell r="AO14">
            <v>67738.67</v>
          </cell>
          <cell r="CI14">
            <v>3859.2</v>
          </cell>
          <cell r="CU14">
            <v>108695.65</v>
          </cell>
          <cell r="CW14">
            <v>0</v>
          </cell>
          <cell r="CY14">
            <v>0</v>
          </cell>
          <cell r="DA14">
            <v>12409.42</v>
          </cell>
          <cell r="DC14">
            <v>0</v>
          </cell>
          <cell r="DE14">
            <v>0</v>
          </cell>
          <cell r="DS14">
            <v>377507.09</v>
          </cell>
          <cell r="DY14">
            <v>970725.91</v>
          </cell>
          <cell r="EW14">
            <v>0</v>
          </cell>
          <cell r="EY14">
            <v>126360</v>
          </cell>
          <cell r="FG14">
            <v>686595</v>
          </cell>
          <cell r="FM14">
            <v>30030967</v>
          </cell>
          <cell r="FS14">
            <v>8815527</v>
          </cell>
          <cell r="GU14">
            <v>139167</v>
          </cell>
          <cell r="GY14">
            <v>427208.4</v>
          </cell>
          <cell r="HK14">
            <v>190000</v>
          </cell>
          <cell r="HO14">
            <v>0</v>
          </cell>
          <cell r="II14">
            <v>17621551</v>
          </cell>
          <cell r="JC14">
            <v>11386083.33</v>
          </cell>
          <cell r="JG14">
            <v>29278500</v>
          </cell>
          <cell r="LK14">
            <v>283633.01</v>
          </cell>
          <cell r="LS14">
            <v>25793492</v>
          </cell>
          <cell r="NA14">
            <v>3150000</v>
          </cell>
          <cell r="NU14">
            <v>700000</v>
          </cell>
          <cell r="OA14">
            <v>299485.84999999998</v>
          </cell>
          <cell r="OC14">
            <v>516497.4</v>
          </cell>
          <cell r="PM14">
            <v>47121353</v>
          </cell>
          <cell r="PS14">
            <v>9215416.7400000002</v>
          </cell>
          <cell r="PW14">
            <v>25381106.920000002</v>
          </cell>
        </row>
        <row r="15">
          <cell r="AI15">
            <v>396000</v>
          </cell>
          <cell r="AM15">
            <v>5596593.6900000004</v>
          </cell>
          <cell r="AO15">
            <v>71537.100000000006</v>
          </cell>
          <cell r="CI15">
            <v>12059.8</v>
          </cell>
          <cell r="CU15">
            <v>7246.38</v>
          </cell>
          <cell r="CW15">
            <v>0</v>
          </cell>
          <cell r="CY15">
            <v>0</v>
          </cell>
          <cell r="DA15">
            <v>827.29</v>
          </cell>
          <cell r="DC15">
            <v>0</v>
          </cell>
          <cell r="DE15">
            <v>0</v>
          </cell>
          <cell r="DS15">
            <v>377507.37</v>
          </cell>
          <cell r="DY15">
            <v>970726.63</v>
          </cell>
          <cell r="EU15">
            <v>190551.31</v>
          </cell>
          <cell r="EW15">
            <v>81608.679999999993</v>
          </cell>
          <cell r="EY15">
            <v>157950</v>
          </cell>
          <cell r="FG15">
            <v>589320</v>
          </cell>
          <cell r="FM15">
            <v>18435347.600000001</v>
          </cell>
          <cell r="GY15">
            <v>319761</v>
          </cell>
          <cell r="HO15">
            <v>1715245.3</v>
          </cell>
          <cell r="IG15">
            <v>2425407</v>
          </cell>
          <cell r="II15">
            <v>8742719.3599999994</v>
          </cell>
          <cell r="IU15">
            <v>168000</v>
          </cell>
          <cell r="IY15">
            <v>432000</v>
          </cell>
          <cell r="KG15">
            <v>8330586.0700000003</v>
          </cell>
          <cell r="KM15">
            <v>11518233.199999999</v>
          </cell>
          <cell r="LK15">
            <v>163951.81</v>
          </cell>
          <cell r="LS15">
            <v>23930145</v>
          </cell>
          <cell r="NA15">
            <v>3150000</v>
          </cell>
          <cell r="NU15">
            <v>2800000</v>
          </cell>
          <cell r="OA15">
            <v>221922.66</v>
          </cell>
          <cell r="OC15">
            <v>450820.89</v>
          </cell>
          <cell r="PM15">
            <v>15359026</v>
          </cell>
          <cell r="PS15">
            <v>5361892.4400000004</v>
          </cell>
          <cell r="PW15">
            <v>20186975.48</v>
          </cell>
        </row>
        <row r="16">
          <cell r="AI16">
            <v>132000</v>
          </cell>
          <cell r="AK16">
            <v>200166</v>
          </cell>
          <cell r="AM16">
            <v>4149978.19</v>
          </cell>
          <cell r="AO16">
            <v>104456.82</v>
          </cell>
          <cell r="AS16">
            <v>907381.19</v>
          </cell>
          <cell r="BY16">
            <v>5763733.3399999999</v>
          </cell>
          <cell r="CE16">
            <v>14819600</v>
          </cell>
          <cell r="CI16">
            <v>16400.400000000001</v>
          </cell>
          <cell r="CU16">
            <v>21739.13</v>
          </cell>
          <cell r="CW16">
            <v>0</v>
          </cell>
          <cell r="CY16">
            <v>0</v>
          </cell>
          <cell r="DA16">
            <v>2481.8799999999997</v>
          </cell>
          <cell r="DC16">
            <v>0</v>
          </cell>
          <cell r="DE16">
            <v>0</v>
          </cell>
          <cell r="DS16">
            <v>377507.09</v>
          </cell>
          <cell r="DY16">
            <v>970725.91</v>
          </cell>
          <cell r="EU16">
            <v>285000</v>
          </cell>
          <cell r="EW16">
            <v>226220.35</v>
          </cell>
          <cell r="EY16">
            <v>168480</v>
          </cell>
          <cell r="FG16">
            <v>2404284</v>
          </cell>
          <cell r="FK16">
            <v>3232503</v>
          </cell>
          <cell r="FM16">
            <v>6456968</v>
          </cell>
          <cell r="FS16">
            <v>9771453</v>
          </cell>
          <cell r="GC16">
            <v>2113487.04</v>
          </cell>
          <cell r="GI16">
            <v>111236.16</v>
          </cell>
          <cell r="GU16">
            <v>146308.53</v>
          </cell>
          <cell r="GY16">
            <v>1042123.45</v>
          </cell>
          <cell r="HO16">
            <v>427032.13</v>
          </cell>
          <cell r="IG16">
            <v>2196476.0499999998</v>
          </cell>
          <cell r="II16">
            <v>690834.7</v>
          </cell>
          <cell r="IU16">
            <v>338955.84</v>
          </cell>
          <cell r="IY16">
            <v>871600.72</v>
          </cell>
          <cell r="LK16">
            <v>160481.83000000002</v>
          </cell>
          <cell r="LS16">
            <v>28574559</v>
          </cell>
          <cell r="NA16">
            <v>0</v>
          </cell>
          <cell r="NU16">
            <v>2850400</v>
          </cell>
          <cell r="OA16">
            <v>300388.69</v>
          </cell>
          <cell r="OC16">
            <v>468592.41</v>
          </cell>
          <cell r="PM16">
            <v>37948903</v>
          </cell>
          <cell r="PS16">
            <v>6938930.2199999997</v>
          </cell>
          <cell r="PW16">
            <v>35137791.25</v>
          </cell>
        </row>
        <row r="17">
          <cell r="AI17">
            <v>352000</v>
          </cell>
          <cell r="AM17">
            <v>8812600.75</v>
          </cell>
          <cell r="AO17">
            <v>43681.94</v>
          </cell>
          <cell r="AS17">
            <v>80237.27</v>
          </cell>
          <cell r="CI17">
            <v>4823.95</v>
          </cell>
          <cell r="CK17">
            <v>7718.3</v>
          </cell>
          <cell r="CM17">
            <v>4823.95</v>
          </cell>
          <cell r="CU17">
            <v>0</v>
          </cell>
          <cell r="CW17">
            <v>72463.760000000009</v>
          </cell>
          <cell r="CY17">
            <v>72463.760000000009</v>
          </cell>
          <cell r="DA17">
            <v>0</v>
          </cell>
          <cell r="DC17">
            <v>8272.9499999999989</v>
          </cell>
          <cell r="DE17">
            <v>8272.9499999999989</v>
          </cell>
          <cell r="DS17">
            <v>42000.21</v>
          </cell>
          <cell r="DU17">
            <v>378001.86000000004</v>
          </cell>
          <cell r="DW17">
            <v>378001.86000000004</v>
          </cell>
          <cell r="DY17">
            <v>107999.79</v>
          </cell>
          <cell r="EA17">
            <v>971998.14</v>
          </cell>
          <cell r="EC17">
            <v>971998.14</v>
          </cell>
          <cell r="EU17">
            <v>162122.96</v>
          </cell>
          <cell r="EW17">
            <v>191401.57</v>
          </cell>
          <cell r="EY17">
            <v>157950</v>
          </cell>
          <cell r="FG17">
            <v>1610783</v>
          </cell>
          <cell r="FM17">
            <v>3504348</v>
          </cell>
          <cell r="FS17">
            <v>10693318.5</v>
          </cell>
          <cell r="FU17">
            <v>10693318.5</v>
          </cell>
          <cell r="GY17">
            <v>605361.53</v>
          </cell>
          <cell r="HA17">
            <v>275361.53000000003</v>
          </cell>
          <cell r="HO17">
            <v>173140.18</v>
          </cell>
          <cell r="II17">
            <v>1737650</v>
          </cell>
          <cell r="IK17">
            <v>1099553</v>
          </cell>
          <cell r="JO17">
            <v>448507</v>
          </cell>
          <cell r="JQ17">
            <v>1153303.7</v>
          </cell>
          <cell r="LK17">
            <v>413690.02</v>
          </cell>
          <cell r="LM17">
            <v>2715691.85</v>
          </cell>
          <cell r="LS17">
            <v>32378950</v>
          </cell>
          <cell r="NA17">
            <v>3150000</v>
          </cell>
          <cell r="NU17">
            <v>2178400</v>
          </cell>
          <cell r="NW17">
            <v>1920000</v>
          </cell>
          <cell r="NY17">
            <v>1920000</v>
          </cell>
          <cell r="OA17">
            <v>93496.23</v>
          </cell>
          <cell r="OC17">
            <v>544803.48</v>
          </cell>
          <cell r="OE17">
            <v>81231.5</v>
          </cell>
          <cell r="OI17">
            <v>225000</v>
          </cell>
          <cell r="OK17">
            <v>225000</v>
          </cell>
          <cell r="OO17">
            <v>4275000</v>
          </cell>
          <cell r="OQ17">
            <v>4275000</v>
          </cell>
          <cell r="OU17">
            <v>400000</v>
          </cell>
          <cell r="OW17">
            <v>400000</v>
          </cell>
          <cell r="PA17">
            <v>7600000</v>
          </cell>
          <cell r="PC17">
            <v>7600000</v>
          </cell>
          <cell r="PM17">
            <v>21652148</v>
          </cell>
          <cell r="PO17">
            <v>4400000</v>
          </cell>
          <cell r="PS17">
            <v>2178868.2799999998</v>
          </cell>
          <cell r="PU17">
            <v>1065549.06</v>
          </cell>
          <cell r="PW17">
            <v>32810998.330000002</v>
          </cell>
        </row>
        <row r="18">
          <cell r="W18">
            <v>143220</v>
          </cell>
          <cell r="Y18">
            <v>2721180</v>
          </cell>
          <cell r="AI18">
            <v>308000</v>
          </cell>
          <cell r="AM18">
            <v>2481849.7000000002</v>
          </cell>
          <cell r="AO18">
            <v>82932.39</v>
          </cell>
          <cell r="CI18">
            <v>7235.95</v>
          </cell>
          <cell r="CU18">
            <v>362318.83999999997</v>
          </cell>
          <cell r="CW18">
            <v>0</v>
          </cell>
          <cell r="CY18">
            <v>0</v>
          </cell>
          <cell r="DA18">
            <v>41364.730000000003</v>
          </cell>
          <cell r="DC18">
            <v>0</v>
          </cell>
          <cell r="DE18">
            <v>0</v>
          </cell>
          <cell r="DG18">
            <v>129032.26</v>
          </cell>
          <cell r="DM18">
            <v>155419.35999999999</v>
          </cell>
          <cell r="DS18">
            <v>377507.09</v>
          </cell>
          <cell r="DY18">
            <v>970725.91</v>
          </cell>
          <cell r="EW18">
            <v>142915.84</v>
          </cell>
          <cell r="EY18">
            <v>168480</v>
          </cell>
          <cell r="FG18">
            <v>4345200</v>
          </cell>
          <cell r="FM18">
            <v>16433562</v>
          </cell>
          <cell r="FS18">
            <v>9719460</v>
          </cell>
          <cell r="GY18">
            <v>219680</v>
          </cell>
          <cell r="HO18">
            <v>427032.13</v>
          </cell>
          <cell r="II18">
            <v>7136972.7800000003</v>
          </cell>
          <cell r="JK18">
            <v>8900000</v>
          </cell>
          <cell r="LK18">
            <v>335924.69999999995</v>
          </cell>
          <cell r="LS18">
            <v>19859951</v>
          </cell>
          <cell r="NA18">
            <v>3150000</v>
          </cell>
          <cell r="NQ18">
            <v>2494479</v>
          </cell>
          <cell r="NU18">
            <v>2800000</v>
          </cell>
          <cell r="OA18">
            <v>159114.54999999999</v>
          </cell>
          <cell r="OC18">
            <v>538531.48</v>
          </cell>
          <cell r="PM18">
            <v>18978280</v>
          </cell>
          <cell r="PS18">
            <v>1333170.8799999999</v>
          </cell>
          <cell r="PW18">
            <v>16760170.57</v>
          </cell>
        </row>
        <row r="19">
          <cell r="W19">
            <v>143220</v>
          </cell>
          <cell r="Y19">
            <v>2721180</v>
          </cell>
          <cell r="AI19">
            <v>66000</v>
          </cell>
          <cell r="AM19">
            <v>4149978.19</v>
          </cell>
          <cell r="AO19">
            <v>30387.439999999999</v>
          </cell>
          <cell r="AS19">
            <v>1136844.22</v>
          </cell>
          <cell r="CI19">
            <v>4823.95</v>
          </cell>
          <cell r="CK19">
            <v>4824</v>
          </cell>
          <cell r="CU19">
            <v>7246.38</v>
          </cell>
          <cell r="CW19">
            <v>0</v>
          </cell>
          <cell r="CY19">
            <v>0</v>
          </cell>
          <cell r="DA19">
            <v>827.29</v>
          </cell>
          <cell r="DC19">
            <v>0</v>
          </cell>
          <cell r="DE19">
            <v>0</v>
          </cell>
          <cell r="DS19">
            <v>280001.38</v>
          </cell>
          <cell r="DU19">
            <v>97506</v>
          </cell>
          <cell r="DY19">
            <v>719998.62</v>
          </cell>
          <cell r="EA19">
            <v>250728</v>
          </cell>
          <cell r="EU19">
            <v>222902.58</v>
          </cell>
          <cell r="EW19">
            <v>67930.47</v>
          </cell>
          <cell r="EY19">
            <v>84240</v>
          </cell>
          <cell r="FG19">
            <v>2295000</v>
          </cell>
          <cell r="FK19">
            <v>20314851</v>
          </cell>
          <cell r="FM19">
            <v>58355838</v>
          </cell>
          <cell r="HO19">
            <v>0</v>
          </cell>
          <cell r="II19">
            <v>1663751</v>
          </cell>
          <cell r="LK19">
            <v>741166.27</v>
          </cell>
          <cell r="LS19">
            <v>14816681</v>
          </cell>
          <cell r="NA19">
            <v>3420000</v>
          </cell>
          <cell r="NU19">
            <v>2374400</v>
          </cell>
          <cell r="OA19">
            <v>276353.65999999997</v>
          </cell>
          <cell r="OC19">
            <v>435300.61000000004</v>
          </cell>
          <cell r="PM19">
            <v>24869127</v>
          </cell>
          <cell r="PW19">
            <v>13702304.26</v>
          </cell>
        </row>
        <row r="20">
          <cell r="S20">
            <v>421875</v>
          </cell>
          <cell r="U20">
            <v>421875</v>
          </cell>
          <cell r="AI20">
            <v>242000</v>
          </cell>
          <cell r="AM20">
            <v>8015153.96</v>
          </cell>
          <cell r="AO20">
            <v>72170.17</v>
          </cell>
          <cell r="AS20">
            <v>1768424</v>
          </cell>
          <cell r="BY20">
            <v>5763733.3300000001</v>
          </cell>
          <cell r="CE20">
            <v>14819600</v>
          </cell>
          <cell r="CI20">
            <v>43415.34</v>
          </cell>
          <cell r="CK20">
            <v>4341.55</v>
          </cell>
          <cell r="CM20">
            <v>4341.55</v>
          </cell>
          <cell r="CU20">
            <v>217391.3</v>
          </cell>
          <cell r="CW20">
            <v>0</v>
          </cell>
          <cell r="CY20">
            <v>0</v>
          </cell>
          <cell r="DA20">
            <v>24818.84</v>
          </cell>
          <cell r="DC20">
            <v>0</v>
          </cell>
          <cell r="DE20">
            <v>0</v>
          </cell>
          <cell r="DS20">
            <v>420002.06</v>
          </cell>
          <cell r="DY20">
            <v>1079997.94</v>
          </cell>
          <cell r="EU20">
            <v>285000</v>
          </cell>
          <cell r="EW20">
            <v>47109.16</v>
          </cell>
          <cell r="EY20">
            <v>200070</v>
          </cell>
          <cell r="FG20">
            <v>2529650</v>
          </cell>
          <cell r="FK20">
            <v>49960365</v>
          </cell>
          <cell r="FS20">
            <v>5994782</v>
          </cell>
          <cell r="GU20">
            <v>120000.00000000001</v>
          </cell>
          <cell r="HO20">
            <v>306438.25</v>
          </cell>
          <cell r="HY20">
            <v>4899457.66</v>
          </cell>
          <cell r="II20">
            <v>11648642.890000001</v>
          </cell>
          <cell r="IK20">
            <v>8150637.8900000006</v>
          </cell>
          <cell r="LK20">
            <v>356194.05</v>
          </cell>
          <cell r="LS20">
            <v>19557654</v>
          </cell>
          <cell r="LU20">
            <v>22523670</v>
          </cell>
          <cell r="MA20">
            <v>35596207</v>
          </cell>
          <cell r="MC20">
            <v>35596207</v>
          </cell>
          <cell r="MS20">
            <v>536760</v>
          </cell>
          <cell r="MU20">
            <v>536760</v>
          </cell>
          <cell r="NA20">
            <v>6840000</v>
          </cell>
          <cell r="NC20">
            <v>6840000</v>
          </cell>
          <cell r="NE20">
            <v>6840000</v>
          </cell>
          <cell r="NK20">
            <v>638574.30000000005</v>
          </cell>
          <cell r="NU20">
            <v>1680000</v>
          </cell>
          <cell r="NW20">
            <v>4000000</v>
          </cell>
          <cell r="NY20">
            <v>4000000</v>
          </cell>
          <cell r="OA20">
            <v>218321.75</v>
          </cell>
          <cell r="OC20">
            <v>661890.66</v>
          </cell>
          <cell r="OE20">
            <v>133902.54</v>
          </cell>
          <cell r="OI20">
            <v>275000</v>
          </cell>
          <cell r="OK20">
            <v>275000</v>
          </cell>
          <cell r="OO20">
            <v>5225000</v>
          </cell>
          <cell r="OQ20">
            <v>5225000</v>
          </cell>
          <cell r="OU20">
            <v>400000</v>
          </cell>
          <cell r="OW20">
            <v>400000</v>
          </cell>
          <cell r="PA20">
            <v>7600000</v>
          </cell>
          <cell r="PC20">
            <v>7600000</v>
          </cell>
          <cell r="PM20">
            <v>27057196</v>
          </cell>
          <cell r="PO20">
            <v>12022049</v>
          </cell>
          <cell r="PS20">
            <v>835301.97</v>
          </cell>
          <cell r="PW20">
            <v>32710492.950000003</v>
          </cell>
        </row>
        <row r="21">
          <cell r="O21">
            <v>1014200</v>
          </cell>
          <cell r="AI21">
            <v>185000</v>
          </cell>
          <cell r="AM21">
            <v>0</v>
          </cell>
          <cell r="AO21">
            <v>56343.38</v>
          </cell>
          <cell r="AU21">
            <v>1170692</v>
          </cell>
          <cell r="AW21">
            <v>3010350</v>
          </cell>
          <cell r="CI21">
            <v>4824</v>
          </cell>
          <cell r="CU21">
            <v>94202.9</v>
          </cell>
          <cell r="CW21">
            <v>0</v>
          </cell>
          <cell r="CY21">
            <v>0</v>
          </cell>
          <cell r="DA21">
            <v>10754.83</v>
          </cell>
          <cell r="DC21">
            <v>0</v>
          </cell>
          <cell r="DE21">
            <v>0</v>
          </cell>
          <cell r="DS21">
            <v>377507.09</v>
          </cell>
          <cell r="DY21">
            <v>970725.91</v>
          </cell>
          <cell r="EW21">
            <v>33984</v>
          </cell>
          <cell r="EY21">
            <v>94770</v>
          </cell>
          <cell r="FM21">
            <v>9587718</v>
          </cell>
          <cell r="GY21">
            <v>520043.3</v>
          </cell>
          <cell r="HO21">
            <v>102487.71</v>
          </cell>
          <cell r="IG21">
            <v>8683240</v>
          </cell>
          <cell r="II21">
            <v>90384</v>
          </cell>
          <cell r="LK21">
            <v>235541.78</v>
          </cell>
          <cell r="LS21">
            <v>14230666</v>
          </cell>
          <cell r="NA21">
            <v>3420000</v>
          </cell>
          <cell r="NU21">
            <v>2400000</v>
          </cell>
          <cell r="OA21">
            <v>166726.32</v>
          </cell>
          <cell r="OC21">
            <v>440645.29</v>
          </cell>
          <cell r="PM21">
            <v>11495846</v>
          </cell>
          <cell r="PS21">
            <v>438390.98</v>
          </cell>
          <cell r="PW21">
            <v>19970955.119999997</v>
          </cell>
        </row>
        <row r="22">
          <cell r="W22">
            <v>143220</v>
          </cell>
          <cell r="Y22">
            <v>2721180</v>
          </cell>
          <cell r="AI22">
            <v>220000</v>
          </cell>
          <cell r="AM22">
            <v>4809092.38</v>
          </cell>
          <cell r="AO22">
            <v>97493.04</v>
          </cell>
          <cell r="AY22">
            <v>5785870.0099999998</v>
          </cell>
          <cell r="BA22">
            <v>109931525.98999999</v>
          </cell>
          <cell r="CI22">
            <v>4341.55</v>
          </cell>
          <cell r="CQ22">
            <v>64386939.619999997</v>
          </cell>
          <cell r="CU22">
            <v>86956.520000000019</v>
          </cell>
          <cell r="CW22">
            <v>0</v>
          </cell>
          <cell r="CY22">
            <v>0</v>
          </cell>
          <cell r="DA22">
            <v>9927.5400000000009</v>
          </cell>
          <cell r="DC22">
            <v>0</v>
          </cell>
          <cell r="DE22">
            <v>0</v>
          </cell>
          <cell r="DU22">
            <v>377507.09</v>
          </cell>
          <cell r="EA22">
            <v>970725.91</v>
          </cell>
          <cell r="EU22">
            <v>285000</v>
          </cell>
          <cell r="EW22">
            <v>0</v>
          </cell>
          <cell r="EY22">
            <v>141750</v>
          </cell>
          <cell r="FG22">
            <v>825417</v>
          </cell>
          <cell r="FK22">
            <v>31274999</v>
          </cell>
          <cell r="FO22">
            <v>5264514</v>
          </cell>
          <cell r="FS22">
            <v>35700000</v>
          </cell>
          <cell r="GU22">
            <v>163415.76999999999</v>
          </cell>
          <cell r="HK22">
            <v>190000</v>
          </cell>
          <cell r="HO22">
            <v>854064.25</v>
          </cell>
          <cell r="IG22">
            <v>13794560.9</v>
          </cell>
          <cell r="II22">
            <v>3091988</v>
          </cell>
          <cell r="LK22">
            <v>122091.86</v>
          </cell>
          <cell r="LS22">
            <v>47290415</v>
          </cell>
          <cell r="NA22">
            <v>0</v>
          </cell>
          <cell r="NU22">
            <v>3682000</v>
          </cell>
          <cell r="OA22">
            <v>268514.62</v>
          </cell>
          <cell r="OC22">
            <v>602249.47</v>
          </cell>
          <cell r="PM22">
            <v>75247346</v>
          </cell>
          <cell r="PS22">
            <v>6781992.29</v>
          </cell>
          <cell r="PW22">
            <v>0</v>
          </cell>
        </row>
        <row r="23">
          <cell r="AI23">
            <v>132000</v>
          </cell>
          <cell r="AM23">
            <v>0</v>
          </cell>
          <cell r="AO23">
            <v>43681.94</v>
          </cell>
          <cell r="CI23">
            <v>4341.6499999999996</v>
          </cell>
          <cell r="CU23">
            <v>72463.760000000009</v>
          </cell>
          <cell r="CW23">
            <v>0</v>
          </cell>
          <cell r="CY23">
            <v>0</v>
          </cell>
          <cell r="DA23">
            <v>8272.9499999999989</v>
          </cell>
          <cell r="DC23">
            <v>0</v>
          </cell>
          <cell r="DE23">
            <v>0</v>
          </cell>
          <cell r="DU23">
            <v>377507.38</v>
          </cell>
          <cell r="EA23">
            <v>970726.62</v>
          </cell>
          <cell r="EW23">
            <v>36847.129999999997</v>
          </cell>
          <cell r="EY23">
            <v>29160</v>
          </cell>
          <cell r="FG23">
            <v>4420927</v>
          </cell>
          <cell r="FM23">
            <v>55956094</v>
          </cell>
          <cell r="GY23">
            <v>135000</v>
          </cell>
          <cell r="HO23">
            <v>0</v>
          </cell>
          <cell r="IG23">
            <v>27134984.129999999</v>
          </cell>
          <cell r="II23">
            <v>4389668</v>
          </cell>
          <cell r="IS23">
            <v>1761500</v>
          </cell>
          <cell r="LK23">
            <v>227049.51</v>
          </cell>
          <cell r="LS23">
            <v>19784458</v>
          </cell>
          <cell r="NA23">
            <v>3150000</v>
          </cell>
          <cell r="NU23">
            <v>2841600</v>
          </cell>
          <cell r="OA23">
            <v>311150.3</v>
          </cell>
          <cell r="OC23">
            <v>382884.09</v>
          </cell>
          <cell r="PM23">
            <v>22033452</v>
          </cell>
          <cell r="PS23">
            <v>1549374.25</v>
          </cell>
          <cell r="PW23">
            <v>18923066.91</v>
          </cell>
        </row>
        <row r="24">
          <cell r="E24">
            <v>1000000</v>
          </cell>
          <cell r="O24">
            <v>1434300</v>
          </cell>
          <cell r="Q24">
            <v>253125</v>
          </cell>
          <cell r="W24">
            <v>143220</v>
          </cell>
          <cell r="Y24">
            <v>2721180</v>
          </cell>
          <cell r="AI24">
            <v>132000</v>
          </cell>
          <cell r="AM24">
            <v>6029674.2000000002</v>
          </cell>
          <cell r="AO24">
            <v>55710.31</v>
          </cell>
          <cell r="AS24">
            <v>492632.49</v>
          </cell>
          <cell r="CI24">
            <v>4823.92</v>
          </cell>
          <cell r="CU24">
            <v>108695.65</v>
          </cell>
          <cell r="CW24">
            <v>0</v>
          </cell>
          <cell r="CY24">
            <v>0</v>
          </cell>
          <cell r="DA24">
            <v>12409.42</v>
          </cell>
          <cell r="DC24">
            <v>0</v>
          </cell>
          <cell r="DE24">
            <v>0</v>
          </cell>
          <cell r="DS24">
            <v>293226.68</v>
          </cell>
          <cell r="DU24">
            <v>84280.41</v>
          </cell>
          <cell r="DY24">
            <v>754006.32</v>
          </cell>
          <cell r="EA24">
            <v>216719.59</v>
          </cell>
          <cell r="EW24">
            <v>53684.71</v>
          </cell>
          <cell r="EY24">
            <v>21060</v>
          </cell>
          <cell r="FS24">
            <v>30495347</v>
          </cell>
          <cell r="GU24">
            <v>118892.29000000001</v>
          </cell>
          <cell r="GY24">
            <v>465285</v>
          </cell>
          <cell r="HK24">
            <v>0</v>
          </cell>
          <cell r="HO24">
            <v>199637.52</v>
          </cell>
          <cell r="II24">
            <v>3709710</v>
          </cell>
          <cell r="KG24">
            <v>3447625.58</v>
          </cell>
          <cell r="KM24">
            <v>6549089.8799999999</v>
          </cell>
          <cell r="LK24">
            <v>243525.41999999998</v>
          </cell>
          <cell r="LS24">
            <v>23341729</v>
          </cell>
          <cell r="NA24">
            <v>3150000</v>
          </cell>
          <cell r="NI24">
            <v>720000</v>
          </cell>
          <cell r="NU24">
            <v>1915200</v>
          </cell>
          <cell r="OA24">
            <v>297706.02</v>
          </cell>
          <cell r="OC24">
            <v>309495.17999999993</v>
          </cell>
          <cell r="PM24">
            <v>20992224</v>
          </cell>
          <cell r="PS24">
            <v>7388840.0899999999</v>
          </cell>
          <cell r="PW24">
            <v>17379863.109999999</v>
          </cell>
        </row>
        <row r="25">
          <cell r="K25">
            <v>716500</v>
          </cell>
          <cell r="M25">
            <v>1842356.4</v>
          </cell>
          <cell r="Q25">
            <v>351562.5</v>
          </cell>
          <cell r="W25">
            <v>143220</v>
          </cell>
          <cell r="Y25">
            <v>2721180</v>
          </cell>
          <cell r="AI25">
            <v>264000</v>
          </cell>
          <cell r="AM25">
            <v>7209569.96</v>
          </cell>
          <cell r="AO25">
            <v>118384.4</v>
          </cell>
          <cell r="BC25">
            <v>60804000</v>
          </cell>
          <cell r="BE25">
            <v>156353100</v>
          </cell>
          <cell r="CI25">
            <v>7235.92</v>
          </cell>
          <cell r="CK25">
            <v>2412</v>
          </cell>
          <cell r="CM25">
            <v>2412</v>
          </cell>
          <cell r="CU25">
            <v>43478.260000000009</v>
          </cell>
          <cell r="CW25">
            <v>32608.689999999995</v>
          </cell>
          <cell r="CY25">
            <v>32608.689999999995</v>
          </cell>
          <cell r="DA25">
            <v>4963.7700000000004</v>
          </cell>
          <cell r="DC25">
            <v>3722.83</v>
          </cell>
          <cell r="DE25">
            <v>3722.83</v>
          </cell>
          <cell r="DU25">
            <v>448002.2</v>
          </cell>
          <cell r="EA25">
            <v>1151997.8</v>
          </cell>
          <cell r="EU25">
            <v>196426.35</v>
          </cell>
          <cell r="EW25">
            <v>453697.4</v>
          </cell>
          <cell r="EY25">
            <v>294840</v>
          </cell>
          <cell r="FG25">
            <v>315000</v>
          </cell>
          <cell r="FI25">
            <v>315000</v>
          </cell>
          <cell r="FK25">
            <v>38531196</v>
          </cell>
          <cell r="FM25">
            <v>18558184</v>
          </cell>
          <cell r="FS25">
            <v>40102316</v>
          </cell>
          <cell r="FU25">
            <v>32000000</v>
          </cell>
          <cell r="GU25">
            <v>137256.35</v>
          </cell>
          <cell r="GY25">
            <v>135100</v>
          </cell>
          <cell r="HK25">
            <v>350000</v>
          </cell>
          <cell r="HM25">
            <v>350000</v>
          </cell>
          <cell r="HO25">
            <v>426288.33</v>
          </cell>
          <cell r="II25">
            <v>2547642</v>
          </cell>
          <cell r="LK25">
            <v>1133727.8499999999</v>
          </cell>
          <cell r="LS25">
            <v>15218215.119999999</v>
          </cell>
          <cell r="LU25">
            <v>53327230.039999999</v>
          </cell>
          <cell r="NA25">
            <v>12870000</v>
          </cell>
          <cell r="NU25">
            <v>5760000</v>
          </cell>
          <cell r="NW25">
            <v>2323200</v>
          </cell>
          <cell r="NY25">
            <v>2323200</v>
          </cell>
          <cell r="OA25">
            <v>205409.48</v>
          </cell>
          <cell r="OC25">
            <v>799023.46</v>
          </cell>
          <cell r="OE25">
            <v>92636.45</v>
          </cell>
          <cell r="OI25">
            <v>275000</v>
          </cell>
          <cell r="OK25">
            <v>275000</v>
          </cell>
          <cell r="OO25">
            <v>5225000</v>
          </cell>
          <cell r="OQ25">
            <v>5225000</v>
          </cell>
          <cell r="PM25">
            <v>36652309</v>
          </cell>
          <cell r="PO25">
            <v>17900859</v>
          </cell>
          <cell r="PW25">
            <v>45220426.230000004</v>
          </cell>
        </row>
        <row r="26">
          <cell r="O26">
            <v>1035000</v>
          </cell>
          <cell r="Q26">
            <v>281250</v>
          </cell>
          <cell r="W26">
            <v>143220</v>
          </cell>
          <cell r="Y26">
            <v>2721180</v>
          </cell>
          <cell r="AI26">
            <v>352000</v>
          </cell>
          <cell r="AM26">
            <v>3206061.58</v>
          </cell>
          <cell r="AO26">
            <v>75968.600000000006</v>
          </cell>
          <cell r="AS26">
            <v>329403.59999999998</v>
          </cell>
          <cell r="CI26">
            <v>4824</v>
          </cell>
          <cell r="CU26">
            <v>21739.13</v>
          </cell>
          <cell r="CW26">
            <v>0</v>
          </cell>
          <cell r="CY26">
            <v>0</v>
          </cell>
          <cell r="DA26">
            <v>2481.8799999999997</v>
          </cell>
          <cell r="DC26">
            <v>0</v>
          </cell>
          <cell r="DE26">
            <v>0</v>
          </cell>
          <cell r="DS26">
            <v>377507.09</v>
          </cell>
          <cell r="DY26">
            <v>970725.91</v>
          </cell>
          <cell r="EU26">
            <v>285000</v>
          </cell>
          <cell r="EW26">
            <v>95295.06</v>
          </cell>
          <cell r="EY26">
            <v>136890</v>
          </cell>
          <cell r="FG26">
            <v>3081600</v>
          </cell>
          <cell r="FK26">
            <v>74647287</v>
          </cell>
          <cell r="FM26">
            <v>11223798.6</v>
          </cell>
          <cell r="GU26">
            <v>122247.15000000001</v>
          </cell>
          <cell r="GY26">
            <v>180500</v>
          </cell>
          <cell r="HK26">
            <v>190000</v>
          </cell>
          <cell r="HO26">
            <v>619095.66</v>
          </cell>
          <cell r="II26">
            <v>0</v>
          </cell>
          <cell r="IS26">
            <v>348335</v>
          </cell>
          <cell r="JO26">
            <v>1338194.94</v>
          </cell>
          <cell r="JQ26">
            <v>3441072.7199999997</v>
          </cell>
          <cell r="KA26">
            <v>0</v>
          </cell>
          <cell r="KG26">
            <v>16875777.379999999</v>
          </cell>
          <cell r="KM26">
            <v>23333364.879999999</v>
          </cell>
          <cell r="LK26">
            <v>328747.99</v>
          </cell>
          <cell r="LS26">
            <v>19781627</v>
          </cell>
          <cell r="NA26">
            <v>3150000</v>
          </cell>
          <cell r="NI26">
            <v>559137.6</v>
          </cell>
          <cell r="NU26">
            <v>4565600</v>
          </cell>
          <cell r="OA26">
            <v>333621.45</v>
          </cell>
          <cell r="OC26">
            <v>726716.40000000014</v>
          </cell>
          <cell r="PM26">
            <v>18605046</v>
          </cell>
          <cell r="PS26">
            <v>798904.41</v>
          </cell>
          <cell r="PW26">
            <v>19050584.059999999</v>
          </cell>
        </row>
        <row r="27">
          <cell r="Q27">
            <v>281250</v>
          </cell>
          <cell r="AI27">
            <v>220000</v>
          </cell>
          <cell r="AM27">
            <v>8032784.5999999996</v>
          </cell>
          <cell r="AO27">
            <v>73436.31</v>
          </cell>
          <cell r="AS27">
            <v>403878.87</v>
          </cell>
          <cell r="AU27">
            <v>1170692</v>
          </cell>
          <cell r="AW27">
            <v>3010350</v>
          </cell>
          <cell r="CI27">
            <v>8683.1</v>
          </cell>
          <cell r="CU27">
            <v>36231.89</v>
          </cell>
          <cell r="CW27">
            <v>0</v>
          </cell>
          <cell r="CY27">
            <v>0</v>
          </cell>
          <cell r="DA27">
            <v>4136.47</v>
          </cell>
          <cell r="DC27">
            <v>0</v>
          </cell>
          <cell r="DE27">
            <v>0</v>
          </cell>
          <cell r="DU27">
            <v>476002.34</v>
          </cell>
          <cell r="EA27">
            <v>1223997.6599999999</v>
          </cell>
          <cell r="EU27">
            <v>328543.95</v>
          </cell>
          <cell r="EW27">
            <v>567377.88</v>
          </cell>
          <cell r="EY27">
            <v>294840</v>
          </cell>
          <cell r="FG27">
            <v>900000</v>
          </cell>
          <cell r="FI27">
            <v>900000</v>
          </cell>
          <cell r="FS27">
            <v>4990716</v>
          </cell>
          <cell r="GY27">
            <v>188001</v>
          </cell>
          <cell r="HO27">
            <v>427032.13</v>
          </cell>
          <cell r="IG27">
            <v>6795592.25</v>
          </cell>
          <cell r="II27">
            <v>8496633</v>
          </cell>
          <cell r="IK27">
            <v>6805382</v>
          </cell>
          <cell r="IS27">
            <v>916500</v>
          </cell>
          <cell r="LK27">
            <v>331829.24000000005</v>
          </cell>
          <cell r="LS27">
            <v>31088992</v>
          </cell>
          <cell r="NA27">
            <v>3420000</v>
          </cell>
          <cell r="NU27">
            <v>1880000</v>
          </cell>
          <cell r="NW27">
            <v>2480000</v>
          </cell>
          <cell r="NY27">
            <v>2480000</v>
          </cell>
          <cell r="OA27">
            <v>186960.41</v>
          </cell>
          <cell r="OC27">
            <v>494285.55999999994</v>
          </cell>
          <cell r="OE27">
            <v>134613.97</v>
          </cell>
          <cell r="OI27">
            <v>225000</v>
          </cell>
          <cell r="OK27">
            <v>225000</v>
          </cell>
          <cell r="OO27">
            <v>4275000</v>
          </cell>
          <cell r="OQ27">
            <v>4275000</v>
          </cell>
          <cell r="PM27">
            <v>16299118</v>
          </cell>
          <cell r="PO27">
            <v>9317651</v>
          </cell>
          <cell r="PS27">
            <v>2914018.64</v>
          </cell>
          <cell r="PU27">
            <v>285508.28000000003</v>
          </cell>
          <cell r="PW27">
            <v>26989721.780000001</v>
          </cell>
        </row>
        <row r="30">
          <cell r="E30">
            <v>2000000</v>
          </cell>
          <cell r="O30">
            <v>1800000</v>
          </cell>
          <cell r="W30">
            <v>143220</v>
          </cell>
          <cell r="Y30">
            <v>2721180</v>
          </cell>
          <cell r="AI30">
            <v>524000</v>
          </cell>
          <cell r="AM30">
            <v>0</v>
          </cell>
          <cell r="AO30">
            <v>177260.07</v>
          </cell>
          <cell r="AS30">
            <v>2330829.81</v>
          </cell>
          <cell r="CI30">
            <v>38591.5</v>
          </cell>
          <cell r="CU30">
            <v>228260.87000000002</v>
          </cell>
          <cell r="DA30">
            <v>26059.78</v>
          </cell>
          <cell r="EE30">
            <v>1703000</v>
          </cell>
          <cell r="EG30">
            <v>4379100</v>
          </cell>
          <cell r="FE30">
            <v>308025</v>
          </cell>
          <cell r="FK30">
            <v>114764085</v>
          </cell>
          <cell r="FM30">
            <v>67259358</v>
          </cell>
          <cell r="GC30">
            <v>13574122.119999999</v>
          </cell>
          <cell r="GI30">
            <v>714427.48</v>
          </cell>
          <cell r="GU30">
            <v>151528.84</v>
          </cell>
          <cell r="GW30">
            <v>294000</v>
          </cell>
          <cell r="HO30">
            <v>2764057.93</v>
          </cell>
          <cell r="IG30">
            <v>3176581.5</v>
          </cell>
          <cell r="LM30">
            <v>81220000</v>
          </cell>
          <cell r="LS30">
            <v>5000000</v>
          </cell>
          <cell r="MK30">
            <v>99332500</v>
          </cell>
          <cell r="NA30">
            <v>134299999.91999999</v>
          </cell>
          <cell r="NU30">
            <v>3868800</v>
          </cell>
          <cell r="OA30">
            <v>496719.49</v>
          </cell>
          <cell r="OG30">
            <v>1250000</v>
          </cell>
          <cell r="OM30">
            <v>23750000</v>
          </cell>
          <cell r="OS30">
            <v>1600000</v>
          </cell>
          <cell r="OY30">
            <v>30400000</v>
          </cell>
          <cell r="PE30">
            <v>4429.6299999999992</v>
          </cell>
          <cell r="PI30">
            <v>5200</v>
          </cell>
          <cell r="PM30">
            <v>142631419</v>
          </cell>
          <cell r="PQ30">
            <v>133317.09</v>
          </cell>
        </row>
        <row r="31">
          <cell r="E31">
            <v>1720000</v>
          </cell>
          <cell r="G31">
            <v>280000</v>
          </cell>
          <cell r="I31">
            <v>719971.8</v>
          </cell>
          <cell r="AA31">
            <v>2105263.16</v>
          </cell>
          <cell r="AC31">
            <v>40000000</v>
          </cell>
          <cell r="AI31">
            <v>572000</v>
          </cell>
          <cell r="AK31">
            <v>1899834</v>
          </cell>
          <cell r="AM31">
            <v>22223630.5</v>
          </cell>
          <cell r="AO31">
            <v>1037604.46</v>
          </cell>
          <cell r="AS31">
            <v>4487542.95</v>
          </cell>
          <cell r="AY31">
            <v>13244635.99</v>
          </cell>
          <cell r="BA31">
            <v>251648074.00999999</v>
          </cell>
          <cell r="BC31">
            <v>49214600</v>
          </cell>
          <cell r="BE31">
            <v>126551900</v>
          </cell>
          <cell r="BG31">
            <v>16290767.699999999</v>
          </cell>
          <cell r="BI31">
            <v>41890500</v>
          </cell>
          <cell r="CI31">
            <v>38591.5</v>
          </cell>
          <cell r="CU31">
            <v>1086956.54</v>
          </cell>
          <cell r="DA31">
            <v>124094.21</v>
          </cell>
          <cell r="FE31">
            <v>5575810</v>
          </cell>
          <cell r="FK31">
            <v>113110338</v>
          </cell>
          <cell r="FM31">
            <v>73484389</v>
          </cell>
          <cell r="GC31">
            <v>247463542.81</v>
          </cell>
          <cell r="GI31">
            <v>13024396.99</v>
          </cell>
          <cell r="GU31">
            <v>749655.19</v>
          </cell>
          <cell r="HO31">
            <v>1685597.21</v>
          </cell>
          <cell r="HQ31">
            <v>23434483.34</v>
          </cell>
          <cell r="HS31">
            <v>60260100</v>
          </cell>
          <cell r="IC31">
            <v>35662161.119999997</v>
          </cell>
          <cell r="IE31">
            <v>91702700</v>
          </cell>
          <cell r="IG31">
            <v>30909200</v>
          </cell>
          <cell r="IM31">
            <v>20000000</v>
          </cell>
          <cell r="LM31">
            <v>242668000</v>
          </cell>
          <cell r="LS31">
            <v>12132715.57</v>
          </cell>
          <cell r="LY31">
            <v>75254789.590000004</v>
          </cell>
          <cell r="ME31">
            <v>80000000</v>
          </cell>
          <cell r="MK31">
            <v>523200000</v>
          </cell>
          <cell r="MQ31">
            <v>25410000</v>
          </cell>
          <cell r="MW31">
            <v>61300000</v>
          </cell>
          <cell r="MY31">
            <v>40425000</v>
          </cell>
          <cell r="NA31">
            <v>368500000.10000002</v>
          </cell>
          <cell r="NU31">
            <v>19996800</v>
          </cell>
          <cell r="OA31">
            <v>1414927.29</v>
          </cell>
          <cell r="OG31">
            <v>2500000</v>
          </cell>
          <cell r="OM31">
            <v>47500000</v>
          </cell>
          <cell r="OS31">
            <v>10000000</v>
          </cell>
          <cell r="OY31">
            <v>190000000</v>
          </cell>
          <cell r="PM31">
            <v>182637400</v>
          </cell>
          <cell r="PQ31">
            <v>17674042.690000001</v>
          </cell>
        </row>
        <row r="35">
          <cell r="C35">
            <v>7503927241.4799995</v>
          </cell>
        </row>
        <row r="36">
          <cell r="C36">
            <v>7825247.3206599997</v>
          </cell>
        </row>
      </sheetData>
      <sheetData sheetId="61" refreshError="1"/>
      <sheetData sheetId="62" refreshError="1"/>
      <sheetData sheetId="63">
        <row r="10">
          <cell r="B10">
            <v>0</v>
          </cell>
        </row>
        <row r="11">
          <cell r="AM11">
            <v>20000000</v>
          </cell>
        </row>
        <row r="20">
          <cell r="AA20">
            <v>190000000</v>
          </cell>
        </row>
        <row r="30">
          <cell r="AK30">
            <v>50000000</v>
          </cell>
        </row>
        <row r="31">
          <cell r="I31">
            <v>35620396.289999999</v>
          </cell>
          <cell r="K31">
            <v>91595400</v>
          </cell>
          <cell r="M31">
            <v>12370582.76</v>
          </cell>
          <cell r="O31">
            <v>78807712</v>
          </cell>
          <cell r="Q31">
            <v>202648400</v>
          </cell>
          <cell r="S31">
            <v>12370582.76</v>
          </cell>
          <cell r="U31">
            <v>31810000</v>
          </cell>
          <cell r="W31">
            <v>127629417.23999999</v>
          </cell>
          <cell r="AE31">
            <v>0</v>
          </cell>
          <cell r="AK31">
            <v>510000000</v>
          </cell>
        </row>
        <row r="35">
          <cell r="B35">
            <v>1362852491.05</v>
          </cell>
        </row>
        <row r="37">
          <cell r="B37">
            <v>100570</v>
          </cell>
        </row>
        <row r="39">
          <cell r="B39">
            <v>1463422491.05</v>
          </cell>
        </row>
      </sheetData>
      <sheetData sheetId="64">
        <row r="7">
          <cell r="C7">
            <v>623675</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ow r="4">
          <cell r="D4" t="str">
            <v>ПО  СОСТОЯНИЮ  НА  1  ОКТЯБРЯ  2019  ГОДА</v>
          </cell>
        </row>
      </sheetData>
      <sheetData sheetId="73" refreshError="1"/>
      <sheetData sheetId="74">
        <row r="9">
          <cell r="D9">
            <v>72480460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циональные  проекты"/>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Расчет  погашения  кредита"/>
      <sheetName val="Уточнения по МБТ в  феврале"/>
      <sheetName val="Уточнения  по  МБТ  в  мае"/>
      <sheetName val="Уточнения  по  МБТ  в  июле"/>
      <sheetName val="Уточнения  по  МБТ  в  октябре"/>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efreshError="1"/>
      <sheetData sheetId="1">
        <row r="38">
          <cell r="B38">
            <v>2754734.5</v>
          </cell>
          <cell r="E38">
            <v>2216968.8435200001</v>
          </cell>
        </row>
        <row r="40">
          <cell r="B40">
            <v>2754734.5</v>
          </cell>
          <cell r="E40">
            <v>2216968.8435200001</v>
          </cell>
        </row>
        <row r="41">
          <cell r="B41">
            <v>0</v>
          </cell>
          <cell r="E41">
            <v>0</v>
          </cell>
        </row>
      </sheetData>
      <sheetData sheetId="2">
        <row r="39">
          <cell r="B39">
            <v>7503927.2414800003</v>
          </cell>
          <cell r="C39">
            <v>4422866.1738399994</v>
          </cell>
        </row>
        <row r="41">
          <cell r="B41">
            <v>1731528.22401</v>
          </cell>
          <cell r="C41">
            <v>532795.62071999989</v>
          </cell>
        </row>
        <row r="44">
          <cell r="B44">
            <v>7133927.2414800003</v>
          </cell>
          <cell r="C44">
            <v>4052866.1738399994</v>
          </cell>
        </row>
        <row r="45">
          <cell r="B45">
            <v>370000.00000000006</v>
          </cell>
          <cell r="C45">
            <v>370000.00000000006</v>
          </cell>
        </row>
      </sheetData>
      <sheetData sheetId="3">
        <row r="39">
          <cell r="B39">
            <v>10670853.030999999</v>
          </cell>
          <cell r="G39">
            <v>8224728.4404099993</v>
          </cell>
        </row>
        <row r="41">
          <cell r="B41">
            <v>164774.33100000001</v>
          </cell>
          <cell r="G41">
            <v>103740.71328</v>
          </cell>
        </row>
        <row r="44">
          <cell r="B44">
            <v>10532750.9</v>
          </cell>
          <cell r="G44">
            <v>8119242.6725299992</v>
          </cell>
        </row>
        <row r="45">
          <cell r="B45">
            <v>138102.13099999999</v>
          </cell>
          <cell r="G45">
            <v>105485.76788000001</v>
          </cell>
        </row>
      </sheetData>
      <sheetData sheetId="4">
        <row r="37">
          <cell r="B37">
            <v>1362852.4910499998</v>
          </cell>
          <cell r="G37">
            <v>867681.40714999998</v>
          </cell>
        </row>
        <row r="39">
          <cell r="B39">
            <v>1096053.8</v>
          </cell>
          <cell r="G39">
            <v>768042.55141999992</v>
          </cell>
        </row>
        <row r="42">
          <cell r="B42">
            <v>1362852.4910499998</v>
          </cell>
          <cell r="G42">
            <v>867681.40714999998</v>
          </cell>
        </row>
        <row r="43">
          <cell r="B43">
            <v>0</v>
          </cell>
          <cell r="G43">
            <v>0</v>
          </cell>
        </row>
      </sheetData>
      <sheetData sheetId="5">
        <row r="33">
          <cell r="B33">
            <v>22292367.263530001</v>
          </cell>
          <cell r="E33">
            <v>15732244.864920001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0">
          <cell r="C10">
            <v>4623.96</v>
          </cell>
        </row>
      </sheetData>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30">
          <cell r="T30">
            <v>15020000</v>
          </cell>
        </row>
        <row r="37">
          <cell r="L37">
            <v>132564300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WI61"/>
  <sheetViews>
    <sheetView tabSelected="1" zoomScale="50" zoomScaleNormal="50" zoomScaleSheetLayoutView="50" workbookViewId="0">
      <selection activeCell="RK40" sqref="RK40"/>
    </sheetView>
  </sheetViews>
  <sheetFormatPr defaultRowHeight="16.8" x14ac:dyDescent="0.25"/>
  <cols>
    <col min="1" max="3" width="28.21875" style="218" customWidth="1"/>
    <col min="4" max="5" width="27.5546875" style="218" customWidth="1"/>
    <col min="6" max="6" width="27.21875" style="218" customWidth="1"/>
    <col min="7" max="7" width="25.21875" style="218" customWidth="1"/>
    <col min="8" max="8" width="26.21875" style="218" customWidth="1"/>
    <col min="9" max="13" width="24.5546875" style="218" customWidth="1"/>
    <col min="14" max="14" width="24.44140625" style="218" customWidth="1"/>
    <col min="15" max="15" width="26.21875" style="218" customWidth="1"/>
    <col min="16" max="16" width="24.44140625" style="218" customWidth="1"/>
    <col min="17" max="21" width="25.44140625" style="218" customWidth="1"/>
    <col min="22" max="23" width="24.5546875" style="218" customWidth="1"/>
    <col min="24" max="24" width="21" style="218" hidden="1" customWidth="1"/>
    <col min="25" max="25" width="20.5546875" style="218" hidden="1" customWidth="1"/>
    <col min="26" max="26" width="21.44140625" style="218" hidden="1" customWidth="1"/>
    <col min="27" max="27" width="23.77734375" style="218" customWidth="1"/>
    <col min="28" max="28" width="24.44140625" style="218" customWidth="1"/>
    <col min="29" max="29" width="21.5546875" style="218" hidden="1" customWidth="1"/>
    <col min="30" max="30" width="24.44140625" style="218" hidden="1" customWidth="1"/>
    <col min="31" max="34" width="24.44140625" style="218" customWidth="1"/>
    <col min="35" max="35" width="26.44140625" style="218" customWidth="1"/>
    <col min="36" max="36" width="28" style="218" customWidth="1"/>
    <col min="37" max="37" width="25.44140625" style="218" customWidth="1"/>
    <col min="38" max="38" width="28" style="218" hidden="1" customWidth="1"/>
    <col min="39" max="39" width="36.77734375" style="218" hidden="1" customWidth="1"/>
    <col min="40" max="42" width="28" style="218" hidden="1" customWidth="1"/>
    <col min="43" max="43" width="25.109375" style="218" customWidth="1"/>
    <col min="44" max="44" width="28" style="218" hidden="1" customWidth="1"/>
    <col min="45" max="45" width="35.77734375" style="218" hidden="1" customWidth="1"/>
    <col min="46" max="48" width="28" style="218" hidden="1" customWidth="1"/>
    <col min="49" max="49" width="25.21875" style="218" customWidth="1"/>
    <col min="50" max="50" width="28" style="218" hidden="1" customWidth="1"/>
    <col min="51" max="51" width="35.21875" style="218" hidden="1" customWidth="1"/>
    <col min="52" max="54" width="28" style="218" hidden="1" customWidth="1"/>
    <col min="55" max="55" width="25.44140625" style="218" customWidth="1"/>
    <col min="56" max="56" width="28" style="218" hidden="1" customWidth="1"/>
    <col min="57" max="57" width="36" style="218" hidden="1" customWidth="1"/>
    <col min="58" max="60" width="28" style="218" hidden="1" customWidth="1"/>
    <col min="61" max="61" width="25.5546875" style="218" customWidth="1"/>
    <col min="62" max="62" width="28" style="218" hidden="1" customWidth="1"/>
    <col min="63" max="63" width="39.5546875" style="218" hidden="1" customWidth="1"/>
    <col min="64" max="66" width="28" style="218" hidden="1" customWidth="1"/>
    <col min="67" max="67" width="25.5546875" style="218" customWidth="1"/>
    <col min="68" max="68" width="28" style="218" hidden="1" customWidth="1"/>
    <col min="69" max="69" width="35.44140625" style="218" hidden="1" customWidth="1"/>
    <col min="70" max="72" width="28" style="218" hidden="1" customWidth="1"/>
    <col min="73" max="73" width="28" style="218" customWidth="1"/>
    <col min="74" max="74" width="28" style="218" hidden="1" customWidth="1"/>
    <col min="75" max="75" width="37.21875" style="218" hidden="1" customWidth="1"/>
    <col min="76" max="78" width="28" style="218" hidden="1" customWidth="1"/>
    <col min="79" max="79" width="28" style="218" customWidth="1"/>
    <col min="80" max="80" width="28" style="218" hidden="1" customWidth="1"/>
    <col min="81" max="81" width="38.44140625" style="218" hidden="1" customWidth="1"/>
    <col min="82" max="84" width="28" style="218" hidden="1" customWidth="1"/>
    <col min="85" max="85" width="26.77734375" style="218" customWidth="1"/>
    <col min="86" max="86" width="23.77734375" style="218" hidden="1" customWidth="1"/>
    <col min="87" max="88" width="25.44140625" style="218" hidden="1" customWidth="1"/>
    <col min="89" max="89" width="23.77734375" hidden="1" customWidth="1"/>
    <col min="90" max="90" width="24.77734375" style="218" customWidth="1"/>
    <col min="91" max="93" width="24.77734375" style="218" hidden="1" customWidth="1"/>
    <col min="94" max="94" width="23.77734375" hidden="1" customWidth="1"/>
    <col min="95" max="95" width="26.21875" style="218" customWidth="1"/>
    <col min="96" max="98" width="22.77734375" style="218" hidden="1" customWidth="1"/>
    <col min="99" max="99" width="23.77734375" hidden="1" customWidth="1"/>
    <col min="100" max="100" width="23" style="218" customWidth="1"/>
    <col min="101" max="103" width="23" style="218" hidden="1" customWidth="1"/>
    <col min="104" max="104" width="23.77734375" hidden="1" customWidth="1"/>
    <col min="105" max="106" width="21.44140625" style="218" customWidth="1"/>
    <col min="107" max="107" width="24.77734375" style="218" customWidth="1"/>
    <col min="108" max="108" width="23" style="218" customWidth="1"/>
    <col min="109" max="110" width="29.21875" style="218" customWidth="1"/>
    <col min="111" max="112" width="25.5546875" style="218" customWidth="1"/>
    <col min="113" max="116" width="27.44140625" style="218" customWidth="1"/>
    <col min="117" max="118" width="24.21875" style="218" customWidth="1"/>
    <col min="119" max="120" width="25.5546875" style="218" customWidth="1"/>
    <col min="121" max="124" width="25.21875" style="218" customWidth="1"/>
    <col min="125" max="125" width="23.77734375" style="218" customWidth="1"/>
    <col min="126" max="126" width="21" style="218" hidden="1" customWidth="1"/>
    <col min="127" max="127" width="25.21875" style="218" hidden="1" customWidth="1"/>
    <col min="128" max="128" width="24.77734375" style="218" hidden="1" customWidth="1"/>
    <col min="129" max="129" width="24.21875" style="218" hidden="1" customWidth="1"/>
    <col min="130" max="130" width="27.77734375" style="218" hidden="1" customWidth="1"/>
    <col min="131" max="132" width="23.44140625" style="218" hidden="1" customWidth="1"/>
    <col min="133" max="133" width="22.44140625" style="218" customWidth="1"/>
    <col min="134" max="134" width="21" style="218" hidden="1" customWidth="1"/>
    <col min="135" max="135" width="25.44140625" style="218" hidden="1" customWidth="1"/>
    <col min="136" max="136" width="26.21875" style="218" hidden="1" customWidth="1"/>
    <col min="137" max="140" width="25" style="218" hidden="1" customWidth="1"/>
    <col min="141" max="141" width="25" style="218" customWidth="1"/>
    <col min="142" max="142" width="25" style="218" hidden="1" customWidth="1"/>
    <col min="143" max="143" width="25" style="218" customWidth="1"/>
    <col min="144" max="144" width="25" style="218" hidden="1" customWidth="1"/>
    <col min="145" max="145" width="22.5546875" style="218" customWidth="1"/>
    <col min="146" max="146" width="25" style="218" customWidth="1"/>
    <col min="147" max="147" width="22.77734375" style="218" customWidth="1"/>
    <col min="148" max="148" width="25" style="218" customWidth="1"/>
    <col min="149" max="149" width="21" style="218" customWidth="1"/>
    <col min="150" max="151" width="24.77734375" style="218" hidden="1" customWidth="1"/>
    <col min="152" max="152" width="21" style="218" customWidth="1"/>
    <col min="153" max="153" width="24.21875" style="218" hidden="1" customWidth="1"/>
    <col min="154" max="154" width="27.44140625" style="218" hidden="1" customWidth="1"/>
    <col min="155" max="155" width="24.88671875" style="218" customWidth="1"/>
    <col min="156" max="157" width="27.44140625" style="218" hidden="1" customWidth="1"/>
    <col min="158" max="158" width="27.44140625" style="218" customWidth="1"/>
    <col min="159" max="160" width="27.44140625" style="218" hidden="1" customWidth="1"/>
    <col min="161" max="161" width="24.21875" style="218" customWidth="1"/>
    <col min="162" max="162" width="23.44140625" style="218" hidden="1" customWidth="1"/>
    <col min="163" max="163" width="28.21875" style="218" hidden="1" customWidth="1"/>
    <col min="164" max="164" width="21.77734375" style="218" hidden="1" customWidth="1"/>
    <col min="165" max="165" width="28.21875" style="218" hidden="1" customWidth="1"/>
    <col min="166" max="166" width="25.44140625" style="218" customWidth="1"/>
    <col min="167" max="167" width="23" style="218" hidden="1" customWidth="1"/>
    <col min="168" max="168" width="28.21875" style="218" hidden="1" customWidth="1"/>
    <col min="169" max="169" width="23.5546875" style="218" hidden="1" customWidth="1"/>
    <col min="170" max="170" width="28.21875" style="218" hidden="1" customWidth="1"/>
    <col min="171" max="171" width="25.77734375" style="218" customWidth="1"/>
    <col min="172" max="173" width="27.44140625" style="218" hidden="1" customWidth="1"/>
    <col min="174" max="174" width="25.21875" style="218" customWidth="1"/>
    <col min="175" max="176" width="27.44140625" style="218" hidden="1" customWidth="1"/>
    <col min="177" max="177" width="23" style="218" customWidth="1"/>
    <col min="178" max="179" width="25" style="218" hidden="1" customWidth="1"/>
    <col min="180" max="180" width="22.77734375" style="218" customWidth="1"/>
    <col min="181" max="182" width="25" style="218" hidden="1" customWidth="1"/>
    <col min="183" max="183" width="23" style="218" customWidth="1"/>
    <col min="184" max="185" width="26.77734375" style="218" hidden="1" customWidth="1"/>
    <col min="186" max="186" width="23" style="218" customWidth="1"/>
    <col min="187" max="187" width="26.21875" style="218" hidden="1" customWidth="1"/>
    <col min="188" max="188" width="25.77734375" style="218" hidden="1" customWidth="1"/>
    <col min="189" max="189" width="23" style="218" customWidth="1"/>
    <col min="190" max="191" width="26.21875" style="218" hidden="1" customWidth="1"/>
    <col min="192" max="192" width="23" style="218" customWidth="1"/>
    <col min="193" max="193" width="26.44140625" style="218" hidden="1" customWidth="1"/>
    <col min="194" max="194" width="27.44140625" style="218" hidden="1" customWidth="1"/>
    <col min="195" max="195" width="23.77734375" customWidth="1"/>
    <col min="196" max="197" width="23.77734375" hidden="1" customWidth="1"/>
    <col min="198" max="198" width="23.77734375" customWidth="1"/>
    <col min="199" max="200" width="23.77734375" hidden="1" customWidth="1"/>
    <col min="201" max="201" width="23.77734375" customWidth="1"/>
    <col min="202" max="203" width="23.77734375" hidden="1" customWidth="1"/>
    <col min="204" max="204" width="23.77734375" customWidth="1"/>
    <col min="205" max="206" width="25.77734375" hidden="1" customWidth="1"/>
    <col min="207" max="207" width="25.77734375" customWidth="1"/>
    <col min="208" max="209" width="25.77734375" hidden="1" customWidth="1"/>
    <col min="210" max="210" width="25.77734375" customWidth="1"/>
    <col min="211" max="212" width="25.77734375" hidden="1" customWidth="1"/>
    <col min="213" max="213" width="22.5546875" style="218" customWidth="1"/>
    <col min="214" max="221" width="27.21875" style="218" hidden="1" customWidth="1"/>
    <col min="222" max="222" width="22.21875" style="218" customWidth="1"/>
    <col min="223" max="230" width="25.77734375" style="218" hidden="1" customWidth="1"/>
    <col min="231" max="231" width="24" style="218" customWidth="1"/>
    <col min="232" max="239" width="29.44140625" style="218" hidden="1" customWidth="1"/>
    <col min="240" max="240" width="25.21875" style="218" customWidth="1"/>
    <col min="241" max="248" width="29.44140625" style="218" hidden="1" customWidth="1"/>
    <col min="249" max="249" width="23.21875" style="218" customWidth="1"/>
    <col min="250" max="257" width="29.44140625" style="218" hidden="1" customWidth="1"/>
    <col min="258" max="258" width="21.5546875" style="218" customWidth="1"/>
    <col min="259" max="266" width="29.44140625" style="218" hidden="1" customWidth="1"/>
    <col min="267" max="267" width="23.77734375" style="218" customWidth="1"/>
    <col min="268" max="275" width="29.44140625" style="218" hidden="1" customWidth="1"/>
    <col min="276" max="276" width="22.44140625" style="218" customWidth="1"/>
    <col min="277" max="284" width="29.44140625" style="218" hidden="1" customWidth="1"/>
    <col min="285" max="285" width="24.21875" style="218" customWidth="1"/>
    <col min="286" max="286" width="23" style="218" hidden="1" customWidth="1"/>
    <col min="287" max="289" width="25.5546875" style="218" hidden="1" customWidth="1"/>
    <col min="290" max="290" width="23" style="218" customWidth="1"/>
    <col min="291" max="291" width="23" style="218" hidden="1" customWidth="1"/>
    <col min="292" max="294" width="23.77734375" hidden="1" customWidth="1"/>
    <col min="295" max="295" width="23.77734375" customWidth="1"/>
    <col min="296" max="298" width="23.77734375" hidden="1" customWidth="1"/>
    <col min="299" max="299" width="22.5546875" style="218" hidden="1" customWidth="1"/>
    <col min="300" max="300" width="28.5546875" style="218" hidden="1" customWidth="1"/>
    <col min="301" max="301" width="23.77734375" customWidth="1"/>
    <col min="302" max="304" width="23.77734375" hidden="1" customWidth="1"/>
    <col min="305" max="305" width="22.21875" style="218" hidden="1" customWidth="1"/>
    <col min="306" max="306" width="26.77734375" style="218" hidden="1" customWidth="1"/>
    <col min="307" max="307" width="23.77734375" customWidth="1"/>
    <col min="308" max="310" width="23.77734375" hidden="1" customWidth="1"/>
    <col min="311" max="311" width="23.77734375" customWidth="1"/>
    <col min="312" max="314" width="23.77734375" hidden="1" customWidth="1"/>
    <col min="315" max="319" width="23.77734375" customWidth="1"/>
    <col min="320" max="322" width="23.77734375" hidden="1" customWidth="1"/>
    <col min="323" max="323" width="28.21875" hidden="1" customWidth="1"/>
    <col min="324" max="324" width="24.77734375" hidden="1" customWidth="1"/>
    <col min="325" max="325" width="23.77734375" hidden="1" customWidth="1"/>
    <col min="326" max="326" width="23.77734375" customWidth="1"/>
    <col min="327" max="332" width="26.5546875" hidden="1" customWidth="1"/>
    <col min="333" max="333" width="23.77734375" customWidth="1"/>
    <col min="334" max="337" width="25" hidden="1" customWidth="1"/>
    <col min="338" max="338" width="23.77734375" customWidth="1"/>
    <col min="339" max="342" width="23.77734375" hidden="1" customWidth="1"/>
    <col min="343" max="343" width="23.77734375" customWidth="1"/>
    <col min="344" max="347" width="25" hidden="1" customWidth="1"/>
    <col min="348" max="348" width="23.77734375" customWidth="1"/>
    <col min="349" max="352" width="25.77734375" hidden="1" customWidth="1"/>
    <col min="353" max="353" width="23.77734375" customWidth="1"/>
    <col min="354" max="357" width="25.77734375" hidden="1" customWidth="1"/>
    <col min="358" max="358" width="23.77734375" customWidth="1"/>
    <col min="359" max="362" width="25" hidden="1" customWidth="1"/>
    <col min="363" max="363" width="23.44140625" style="218" customWidth="1"/>
    <col min="364" max="364" width="20.21875" style="218" hidden="1" customWidth="1"/>
    <col min="365" max="365" width="24.44140625" style="218" customWidth="1"/>
    <col min="366" max="366" width="21.5546875" style="218" hidden="1" customWidth="1"/>
    <col min="367" max="367" width="21.77734375" style="218" customWidth="1"/>
    <col min="368" max="368" width="22" style="218" hidden="1" customWidth="1"/>
    <col min="369" max="369" width="27.21875" style="218" hidden="1" customWidth="1"/>
    <col min="370" max="370" width="24.77734375" style="218" customWidth="1"/>
    <col min="371" max="371" width="22" style="218" hidden="1" customWidth="1"/>
    <col min="372" max="372" width="27" style="218" hidden="1" customWidth="1"/>
    <col min="373" max="373" width="22.44140625" style="218" customWidth="1"/>
    <col min="374" max="374" width="22.44140625" style="218" hidden="1" customWidth="1"/>
    <col min="375" max="375" width="28.21875" style="218" hidden="1" customWidth="1"/>
    <col min="376" max="376" width="22.44140625" style="218" customWidth="1"/>
    <col min="377" max="377" width="22.44140625" style="218" hidden="1" customWidth="1"/>
    <col min="378" max="378" width="29" style="218" hidden="1" customWidth="1"/>
    <col min="379" max="379" width="22.44140625" style="218" customWidth="1"/>
    <col min="380" max="380" width="22.44140625" style="218" hidden="1" customWidth="1"/>
    <col min="381" max="381" width="26.44140625" style="218" hidden="1" customWidth="1"/>
    <col min="382" max="382" width="22.44140625" style="218" customWidth="1"/>
    <col min="383" max="383" width="22.44140625" style="218" hidden="1" customWidth="1"/>
    <col min="384" max="384" width="28.21875" style="218" hidden="1" customWidth="1"/>
    <col min="385" max="385" width="24.77734375" style="218" customWidth="1"/>
    <col min="386" max="387" width="24.77734375" style="218" hidden="1" customWidth="1"/>
    <col min="388" max="388" width="23.21875" style="218" customWidth="1"/>
    <col min="389" max="390" width="25.77734375" style="218" hidden="1" customWidth="1"/>
    <col min="391" max="391" width="25.5546875" style="218" customWidth="1"/>
    <col min="392" max="392" width="25.5546875" style="218" hidden="1" customWidth="1"/>
    <col min="393" max="393" width="39.21875" style="218" hidden="1" customWidth="1"/>
    <col min="394" max="394" width="22.77734375" style="218" customWidth="1"/>
    <col min="395" max="395" width="22.77734375" style="218" hidden="1" customWidth="1"/>
    <col min="396" max="396" width="28.77734375" style="218" hidden="1" customWidth="1"/>
    <col min="397" max="397" width="23.5546875" style="218" customWidth="1"/>
    <col min="398" max="399" width="26" style="218" hidden="1" customWidth="1"/>
    <col min="400" max="400" width="23.5546875" style="218" customWidth="1"/>
    <col min="401" max="401" width="23.21875" style="218" hidden="1" customWidth="1"/>
    <col min="402" max="402" width="27.21875" style="218" hidden="1" customWidth="1"/>
    <col min="403" max="403" width="23.5546875" style="218" customWidth="1"/>
    <col min="404" max="405" width="26" style="218" hidden="1" customWidth="1"/>
    <col min="406" max="406" width="23.5546875" style="218" customWidth="1"/>
    <col min="407" max="408" width="27.77734375" style="218" hidden="1" customWidth="1"/>
    <col min="409" max="409" width="24.5546875" style="218" customWidth="1"/>
    <col min="410" max="410" width="23.5546875" style="218" hidden="1" customWidth="1"/>
    <col min="411" max="411" width="28.21875" style="218" hidden="1" customWidth="1"/>
    <col min="412" max="412" width="23.77734375" style="218" hidden="1" customWidth="1"/>
    <col min="413" max="413" width="28.21875" style="218" hidden="1" customWidth="1"/>
    <col min="414" max="414" width="24.44140625" style="218" hidden="1" customWidth="1"/>
    <col min="415" max="415" width="28.21875" style="218" hidden="1" customWidth="1"/>
    <col min="416" max="416" width="23.77734375" style="218" customWidth="1"/>
    <col min="417" max="422" width="28.21875" style="218" hidden="1" customWidth="1"/>
    <col min="423" max="423" width="24.44140625" style="218" customWidth="1"/>
    <col min="424" max="424" width="24.44140625" style="218" hidden="1" customWidth="1"/>
    <col min="425" max="425" width="28.21875" style="218" hidden="1" customWidth="1"/>
    <col min="426" max="426" width="24.21875" style="218" hidden="1" customWidth="1"/>
    <col min="427" max="427" width="28.21875" style="218" hidden="1" customWidth="1"/>
    <col min="428" max="428" width="24.44140625" style="218" hidden="1" customWidth="1"/>
    <col min="429" max="429" width="28.21875" style="218" hidden="1" customWidth="1"/>
    <col min="430" max="430" width="22.44140625" style="218" hidden="1" customWidth="1"/>
    <col min="431" max="431" width="0.21875" style="218" customWidth="1"/>
    <col min="432" max="432" width="23.77734375" style="218" customWidth="1"/>
    <col min="433" max="433" width="24.5546875" style="218" hidden="1" customWidth="1"/>
    <col min="434" max="434" width="28.21875" style="218" hidden="1" customWidth="1"/>
    <col min="435" max="435" width="23.5546875" style="218" hidden="1" customWidth="1"/>
    <col min="436" max="438" width="28.21875" style="218" hidden="1" customWidth="1"/>
    <col min="439" max="439" width="23.77734375" style="218" hidden="1" customWidth="1"/>
    <col min="440" max="440" width="28.21875" style="218" hidden="1" customWidth="1"/>
    <col min="441" max="441" width="24.77734375" style="218" customWidth="1"/>
    <col min="442" max="449" width="28.21875" style="218" hidden="1" customWidth="1"/>
    <col min="450" max="450" width="23.21875" style="218" customWidth="1"/>
    <col min="451" max="458" width="28.21875" style="218" hidden="1" customWidth="1"/>
    <col min="459" max="459" width="23.5546875" style="218" customWidth="1"/>
    <col min="460" max="467" width="28.21875" style="218" hidden="1" customWidth="1"/>
    <col min="468" max="468" width="23.77734375" style="218" customWidth="1"/>
    <col min="469" max="476" width="28.21875" style="218" hidden="1" customWidth="1"/>
    <col min="477" max="478" width="25" style="218" customWidth="1"/>
    <col min="479" max="480" width="34.21875" style="218" customWidth="1"/>
    <col min="481" max="481" width="24.44140625" style="218" customWidth="1"/>
    <col min="482" max="486" width="23.21875" style="218" customWidth="1"/>
    <col min="487" max="487" width="25.5546875" style="218" customWidth="1"/>
    <col min="488" max="488" width="25" style="218" hidden="1" customWidth="1"/>
    <col min="489" max="489" width="24" style="218" hidden="1" customWidth="1"/>
    <col min="490" max="490" width="26.44140625" style="218" customWidth="1"/>
    <col min="491" max="491" width="24.77734375" style="218" hidden="1" customWidth="1"/>
    <col min="492" max="492" width="24.5546875" style="218" hidden="1" customWidth="1"/>
    <col min="493" max="493" width="26.5546875" style="218" customWidth="1"/>
    <col min="494" max="494" width="27" style="218" customWidth="1"/>
    <col min="495" max="495" width="24.77734375" style="218" customWidth="1"/>
    <col min="496" max="496" width="23.5546875" style="218" customWidth="1"/>
    <col min="497" max="497" width="24" style="218" customWidth="1"/>
    <col min="498" max="498" width="23.77734375" style="218" customWidth="1"/>
    <col min="499" max="499" width="23.44140625" style="218" customWidth="1"/>
    <col min="500" max="501" width="23.5546875" style="218" customWidth="1"/>
    <col min="502" max="502" width="22.44140625" style="218" customWidth="1"/>
    <col min="503" max="503" width="24.44140625" style="218" customWidth="1"/>
    <col min="504" max="504" width="26.5546875" style="218" customWidth="1"/>
    <col min="505" max="505" width="24.21875" style="218" customWidth="1"/>
    <col min="506" max="508" width="23.77734375" style="218" customWidth="1"/>
    <col min="509" max="510" width="23.77734375" style="218" hidden="1" customWidth="1"/>
    <col min="511" max="511" width="22.21875" style="218" customWidth="1"/>
    <col min="512" max="512" width="20.77734375" style="218" hidden="1" customWidth="1"/>
    <col min="513" max="513" width="22.77734375" style="218" hidden="1" customWidth="1"/>
    <col min="514" max="514" width="21.77734375" style="218" customWidth="1"/>
    <col min="515" max="515" width="22.44140625" style="218" hidden="1" customWidth="1"/>
    <col min="516" max="516" width="23.77734375" style="218" hidden="1" customWidth="1"/>
    <col min="517" max="518" width="23.44140625" style="218" customWidth="1"/>
    <col min="519" max="519" width="27.77734375" style="218" customWidth="1"/>
    <col min="520" max="520" width="22.21875" style="218" hidden="1" customWidth="1"/>
    <col min="521" max="521" width="28.44140625" style="218" hidden="1" customWidth="1"/>
    <col min="522" max="522" width="22.21875" style="218" hidden="1" customWidth="1"/>
    <col min="523" max="523" width="27.77734375" style="218" hidden="1" customWidth="1"/>
    <col min="524" max="524" width="24" style="218" hidden="1" customWidth="1"/>
    <col min="525" max="525" width="27.77734375" style="218" hidden="1" customWidth="1"/>
    <col min="526" max="527" width="22.21875" style="218" hidden="1" customWidth="1"/>
    <col min="528" max="528" width="24.33203125" style="218" customWidth="1"/>
    <col min="529" max="529" width="22" style="218" hidden="1" customWidth="1"/>
    <col min="530" max="530" width="28" style="218" hidden="1" customWidth="1"/>
    <col min="531" max="531" width="22" style="218" hidden="1" customWidth="1"/>
    <col min="532" max="532" width="29.44140625" style="218" hidden="1" customWidth="1"/>
    <col min="533" max="533" width="23.44140625" style="218" hidden="1" customWidth="1"/>
    <col min="534" max="534" width="29.44140625" style="218" hidden="1" customWidth="1"/>
    <col min="535" max="536" width="22" style="218" hidden="1" customWidth="1"/>
    <col min="537" max="537" width="23.5546875" style="218" bestFit="1" customWidth="1"/>
    <col min="538" max="538" width="22" style="218" hidden="1" customWidth="1"/>
    <col min="539" max="539" width="22" style="218" customWidth="1"/>
    <col min="540" max="540" width="22" style="218" hidden="1" customWidth="1"/>
    <col min="541" max="541" width="22" style="218" customWidth="1"/>
    <col min="542" max="542" width="22" style="218" hidden="1" customWidth="1"/>
    <col min="543" max="543" width="22" style="218" customWidth="1"/>
    <col min="544" max="544" width="22" style="218" hidden="1" customWidth="1"/>
    <col min="545" max="548" width="22" style="218" customWidth="1"/>
    <col min="549" max="549" width="25.77734375" style="218" customWidth="1"/>
    <col min="550" max="551" width="23.21875" style="218" hidden="1" customWidth="1"/>
    <col min="552" max="552" width="23.44140625" style="218" customWidth="1"/>
    <col min="553" max="554" width="21.5546875" style="218" hidden="1" customWidth="1"/>
    <col min="555" max="555" width="23.44140625" style="218" customWidth="1"/>
    <col min="556" max="557" width="23.44140625" style="218" hidden="1" customWidth="1"/>
    <col min="558" max="558" width="23.44140625" style="218" customWidth="1"/>
    <col min="559" max="560" width="23.44140625" style="218" hidden="1" customWidth="1"/>
    <col min="561" max="565" width="23.44140625" style="218" customWidth="1"/>
    <col min="566" max="566" width="23.44140625" style="218" hidden="1" customWidth="1"/>
    <col min="567" max="567" width="26.21875" style="218" hidden="1" customWidth="1"/>
    <col min="568" max="568" width="23.44140625" style="218" customWidth="1"/>
    <col min="569" max="569" width="23.44140625" style="218" hidden="1" customWidth="1"/>
    <col min="570" max="570" width="27.21875" style="218" hidden="1" customWidth="1"/>
    <col min="571" max="571" width="22.5546875" style="218" customWidth="1"/>
    <col min="572" max="572" width="22.21875" style="218" hidden="1" customWidth="1"/>
    <col min="573" max="573" width="22" style="218" customWidth="1"/>
    <col min="574" max="574" width="23.77734375" style="218" hidden="1" customWidth="1"/>
    <col min="575" max="575" width="20.5546875" style="218" customWidth="1"/>
    <col min="576" max="576" width="20.5546875" style="218" hidden="1" customWidth="1"/>
    <col min="577" max="577" width="20.5546875" style="218" customWidth="1"/>
    <col min="578" max="578" width="20.5546875" style="218" hidden="1" customWidth="1"/>
    <col min="579" max="579" width="20.5546875" style="218" customWidth="1"/>
    <col min="580" max="580" width="20.5546875" style="218" hidden="1" customWidth="1"/>
    <col min="581" max="581" width="20.5546875" style="218" customWidth="1"/>
    <col min="582" max="582" width="20.5546875" style="218" hidden="1" customWidth="1"/>
    <col min="583" max="583" width="20.5546875" style="218" customWidth="1"/>
    <col min="584" max="584" width="20.5546875" style="218" hidden="1" customWidth="1"/>
    <col min="585" max="585" width="20.5546875" style="218" customWidth="1"/>
    <col min="586" max="586" width="20.5546875" style="218" hidden="1" customWidth="1"/>
    <col min="587" max="587" width="25.44140625" style="218" customWidth="1"/>
    <col min="588" max="588" width="24.5546875" style="218" customWidth="1"/>
    <col min="589" max="589" width="25" style="218" customWidth="1"/>
    <col min="590" max="590" width="26.44140625" style="218" customWidth="1"/>
    <col min="591" max="592" width="22.5546875" style="218" customWidth="1"/>
    <col min="593" max="593" width="23.77734375" style="218" customWidth="1"/>
    <col min="594" max="594" width="22.21875" style="218" customWidth="1"/>
    <col min="595" max="596" width="22.5546875" style="218" customWidth="1"/>
    <col min="597" max="597" width="25.5546875" style="218" customWidth="1"/>
    <col min="598" max="598" width="26.21875" style="218" customWidth="1"/>
    <col min="599" max="599" width="23.44140625" style="218" customWidth="1"/>
    <col min="600" max="600" width="23.5546875" style="218" customWidth="1"/>
    <col min="601" max="601" width="23.21875" style="218" customWidth="1"/>
    <col min="602" max="602" width="23.77734375" style="218" customWidth="1"/>
    <col min="603" max="604" width="23.44140625" style="218" customWidth="1"/>
    <col min="605" max="605" width="28.21875" style="218" customWidth="1"/>
    <col min="606" max="606" width="28.5546875" style="218" customWidth="1"/>
    <col min="607" max="607" width="18.6640625" bestFit="1" customWidth="1"/>
  </cols>
  <sheetData>
    <row r="2" spans="1:607" ht="17.399999999999999" x14ac:dyDescent="0.25">
      <c r="G2" s="1211" t="s">
        <v>618</v>
      </c>
      <c r="H2" s="1211"/>
      <c r="I2" s="1211"/>
      <c r="J2" s="1211"/>
      <c r="LO2" s="218"/>
      <c r="LP2" s="218"/>
      <c r="LQ2" s="218"/>
      <c r="LR2" s="218"/>
    </row>
    <row r="3" spans="1:607" ht="17.399999999999999" x14ac:dyDescent="0.25">
      <c r="G3" s="1554" t="str">
        <f>'[1]Факт  средств  из  ОБ_год '!$D$4</f>
        <v>ПО  СОСТОЯНИЮ  НА  1  ОКТЯБРЯ  2019  ГОДА</v>
      </c>
      <c r="H3" s="1554"/>
      <c r="I3" s="1554"/>
      <c r="J3" s="1554"/>
      <c r="UC3" s="228"/>
      <c r="UD3" s="228"/>
      <c r="UE3" s="228"/>
      <c r="VR3" s="228"/>
    </row>
    <row r="4" spans="1:607" x14ac:dyDescent="0.25">
      <c r="GM4" s="72"/>
      <c r="GN4" s="72"/>
      <c r="GO4" s="72"/>
      <c r="GP4" s="72"/>
      <c r="GQ4" s="72"/>
      <c r="GR4" s="72"/>
      <c r="GS4" s="72"/>
      <c r="GT4" s="72"/>
      <c r="GU4" s="72"/>
      <c r="GV4" s="72"/>
      <c r="GW4" s="72"/>
      <c r="GX4" s="72"/>
      <c r="GY4" s="72"/>
      <c r="GZ4" s="72"/>
      <c r="HA4" s="72"/>
      <c r="HB4" s="72"/>
      <c r="HC4" s="72"/>
      <c r="HD4" s="72"/>
    </row>
    <row r="5" spans="1:607" ht="17.399999999999999" thickBot="1" x14ac:dyDescent="0.3">
      <c r="O5" s="218" t="s">
        <v>22</v>
      </c>
      <c r="GM5" s="72"/>
      <c r="GN5" s="72"/>
      <c r="GO5" s="72"/>
      <c r="GQ5" s="72"/>
      <c r="GR5" s="72"/>
      <c r="GS5" s="72"/>
      <c r="GT5" s="72"/>
      <c r="GU5" s="72"/>
      <c r="GV5" s="72"/>
      <c r="GW5" s="72"/>
      <c r="GX5" s="72"/>
      <c r="GY5" s="72"/>
      <c r="GZ5" s="72"/>
      <c r="HA5" s="72"/>
      <c r="HB5" s="72"/>
      <c r="HC5" s="72"/>
      <c r="HD5" s="72"/>
      <c r="KI5" s="72"/>
      <c r="LE5" s="218"/>
    </row>
    <row r="6" spans="1:607" ht="49.5" customHeight="1" thickBot="1" x14ac:dyDescent="0.35">
      <c r="A6" s="1558" t="s">
        <v>13</v>
      </c>
      <c r="B6" s="1513" t="s">
        <v>166</v>
      </c>
      <c r="C6" s="1514"/>
      <c r="D6" s="1575" t="s">
        <v>45</v>
      </c>
      <c r="E6" s="1576"/>
      <c r="F6" s="1576"/>
      <c r="G6" s="1576"/>
      <c r="H6" s="1576"/>
      <c r="I6" s="1576"/>
      <c r="J6" s="1576"/>
      <c r="K6" s="1576"/>
      <c r="L6" s="1576"/>
      <c r="M6" s="1576"/>
      <c r="N6" s="1576"/>
      <c r="O6" s="1576"/>
      <c r="P6" s="1576"/>
      <c r="Q6" s="1576"/>
      <c r="R6" s="1181"/>
      <c r="S6" s="1181"/>
      <c r="T6" s="1181"/>
      <c r="U6" s="1181"/>
      <c r="V6" s="1181"/>
      <c r="W6" s="1181"/>
      <c r="X6" s="1181"/>
      <c r="Y6" s="1181"/>
      <c r="Z6" s="1181"/>
      <c r="AA6" s="1181"/>
      <c r="AB6" s="1181"/>
      <c r="AC6" s="1181"/>
      <c r="AD6" s="1181"/>
      <c r="AE6" s="1181"/>
      <c r="AF6" s="1181"/>
      <c r="AG6" s="1181"/>
      <c r="AH6" s="1181"/>
      <c r="AI6" s="1181"/>
      <c r="AJ6" s="1181"/>
      <c r="AK6" s="1275"/>
      <c r="AL6" s="1275"/>
      <c r="AM6" s="1282"/>
      <c r="AN6" s="1282"/>
      <c r="AO6" s="1282"/>
      <c r="AP6" s="1282"/>
      <c r="AQ6" s="1275"/>
      <c r="AR6" s="1275"/>
      <c r="AS6" s="1282"/>
      <c r="AT6" s="1282"/>
      <c r="AU6" s="1282"/>
      <c r="AV6" s="1282"/>
      <c r="AW6" s="1275"/>
      <c r="AX6" s="1275"/>
      <c r="AY6" s="1282"/>
      <c r="AZ6" s="1282"/>
      <c r="BA6" s="1282"/>
      <c r="BB6" s="1275"/>
      <c r="BC6" s="1275"/>
      <c r="BD6" s="1275"/>
      <c r="BE6" s="1282"/>
      <c r="BF6" s="1282"/>
      <c r="BG6" s="1282"/>
      <c r="BH6" s="1275"/>
      <c r="BI6" s="1275"/>
      <c r="BJ6" s="1275"/>
      <c r="BK6" s="1282"/>
      <c r="BL6" s="1282"/>
      <c r="BM6" s="1282"/>
      <c r="BN6" s="1275"/>
      <c r="BO6" s="1275"/>
      <c r="BP6" s="1275"/>
      <c r="BQ6" s="1282"/>
      <c r="BR6" s="1282"/>
      <c r="BS6" s="1282"/>
      <c r="BT6" s="1275"/>
      <c r="BU6" s="1275"/>
      <c r="BV6" s="1275"/>
      <c r="BW6" s="1282"/>
      <c r="BX6" s="1282"/>
      <c r="BY6" s="1282"/>
      <c r="BZ6" s="1275"/>
      <c r="CA6" s="1275"/>
      <c r="CB6" s="1275"/>
      <c r="CC6" s="1282"/>
      <c r="CD6" s="1282"/>
      <c r="CE6" s="1282"/>
      <c r="CF6" s="1275"/>
      <c r="CG6" s="1181"/>
      <c r="CH6" s="1181"/>
      <c r="CI6" s="1181"/>
      <c r="CJ6" s="1181"/>
      <c r="CK6" s="1181"/>
      <c r="CL6" s="1181"/>
      <c r="CM6" s="1181"/>
      <c r="CN6" s="1181"/>
      <c r="CO6" s="1181"/>
      <c r="CP6" s="1181"/>
      <c r="CQ6" s="1181"/>
      <c r="CR6" s="1181"/>
      <c r="CS6" s="1181"/>
      <c r="CT6" s="1181"/>
      <c r="CU6" s="1181"/>
      <c r="CV6" s="1181"/>
      <c r="CW6" s="1181"/>
      <c r="CX6" s="1181"/>
      <c r="CY6" s="1181"/>
      <c r="CZ6" s="1181"/>
      <c r="DA6" s="1181"/>
      <c r="DB6" s="1181"/>
      <c r="DC6" s="1181"/>
      <c r="DD6" s="1181"/>
      <c r="DE6" s="1181"/>
      <c r="DF6" s="1181"/>
      <c r="DG6" s="1181"/>
      <c r="DH6" s="1181"/>
      <c r="DI6" s="1181"/>
      <c r="DJ6" s="1181"/>
      <c r="DK6" s="1181"/>
      <c r="DL6" s="1181"/>
      <c r="DM6" s="1181"/>
      <c r="DN6" s="1181"/>
      <c r="DO6" s="1181"/>
      <c r="DP6" s="1181"/>
      <c r="DQ6" s="1181"/>
      <c r="DR6" s="1181"/>
      <c r="DS6" s="1181"/>
      <c r="DT6" s="1181"/>
      <c r="DU6" s="1181"/>
      <c r="DV6" s="1181"/>
      <c r="DW6" s="1181"/>
      <c r="DX6" s="1181"/>
      <c r="DY6" s="1181"/>
      <c r="DZ6" s="1181"/>
      <c r="EA6" s="1181"/>
      <c r="EB6" s="1181"/>
      <c r="EC6" s="1181"/>
      <c r="ED6" s="1181"/>
      <c r="EE6" s="1181"/>
      <c r="EF6" s="1181"/>
      <c r="EG6" s="1181"/>
      <c r="EH6" s="1181"/>
      <c r="EI6" s="1181"/>
      <c r="EJ6" s="1181"/>
      <c r="EK6" s="1221"/>
      <c r="EL6" s="1221"/>
      <c r="EM6" s="1221"/>
      <c r="EN6" s="1221"/>
      <c r="EO6" s="1221"/>
      <c r="EP6" s="1221"/>
      <c r="EQ6" s="1221"/>
      <c r="ER6" s="1221"/>
      <c r="ES6" s="1181"/>
      <c r="ET6" s="1181"/>
      <c r="EU6" s="1181"/>
      <c r="EV6" s="1181"/>
      <c r="EW6" s="1181"/>
      <c r="EX6" s="1181"/>
      <c r="EY6" s="1489"/>
      <c r="EZ6" s="1489"/>
      <c r="FA6" s="1489"/>
      <c r="FB6" s="1489"/>
      <c r="FC6" s="1489"/>
      <c r="FD6" s="1489"/>
      <c r="FE6" s="1181"/>
      <c r="FF6" s="1181"/>
      <c r="FG6" s="1181"/>
      <c r="FH6" s="1181"/>
      <c r="FI6" s="1181"/>
      <c r="FJ6" s="1181"/>
      <c r="FK6" s="1181"/>
      <c r="FL6" s="1181"/>
      <c r="FM6" s="1181"/>
      <c r="FN6" s="1181"/>
      <c r="FO6" s="1181"/>
      <c r="FP6" s="1181"/>
      <c r="FQ6" s="1181"/>
      <c r="FR6" s="1181"/>
      <c r="FS6" s="1181"/>
      <c r="FT6" s="1181"/>
      <c r="FU6" s="1181"/>
      <c r="FV6" s="1181"/>
      <c r="FW6" s="1181"/>
      <c r="FX6" s="1181"/>
      <c r="FY6" s="1181"/>
      <c r="FZ6" s="1181"/>
      <c r="GA6" s="1181"/>
      <c r="GB6" s="1181"/>
      <c r="GC6" s="1181"/>
      <c r="GD6" s="1181"/>
      <c r="GE6" s="1181"/>
      <c r="GF6" s="1181"/>
      <c r="GG6" s="1181"/>
      <c r="GH6" s="1181"/>
      <c r="GI6" s="1181"/>
      <c r="GJ6" s="1181"/>
      <c r="GK6" s="1181"/>
      <c r="GL6" s="1181"/>
      <c r="GM6" s="1181"/>
      <c r="GN6" s="1181"/>
      <c r="GO6" s="1181"/>
      <c r="GP6" s="1181"/>
      <c r="GQ6" s="1181"/>
      <c r="GR6" s="1181"/>
      <c r="GS6" s="1181"/>
      <c r="GT6" s="1181"/>
      <c r="GU6" s="1181"/>
      <c r="GV6" s="1181"/>
      <c r="GW6" s="1181"/>
      <c r="GX6" s="1181"/>
      <c r="GY6" s="1475"/>
      <c r="GZ6" s="1475"/>
      <c r="HA6" s="1475"/>
      <c r="HB6" s="1475"/>
      <c r="HC6" s="1475"/>
      <c r="HD6" s="1475"/>
      <c r="HE6" s="1181"/>
      <c r="HF6" s="1181"/>
      <c r="HG6" s="1181"/>
      <c r="HH6" s="1181"/>
      <c r="HI6" s="1181"/>
      <c r="HJ6" s="1181"/>
      <c r="HK6" s="1181"/>
      <c r="HL6" s="1181"/>
      <c r="HM6" s="1181"/>
      <c r="HN6" s="1181"/>
      <c r="HO6" s="1181"/>
      <c r="HP6" s="1181"/>
      <c r="HQ6" s="1181"/>
      <c r="HR6" s="1181"/>
      <c r="HS6" s="1181"/>
      <c r="HT6" s="1181"/>
      <c r="HU6" s="1181"/>
      <c r="HV6" s="1181"/>
      <c r="HW6" s="1181"/>
      <c r="HX6" s="1181"/>
      <c r="HY6" s="1181"/>
      <c r="HZ6" s="1181"/>
      <c r="IA6" s="1181"/>
      <c r="IB6" s="1181"/>
      <c r="IC6" s="1181"/>
      <c r="ID6" s="1181"/>
      <c r="IE6" s="1181"/>
      <c r="IF6" s="1181"/>
      <c r="IG6" s="1181"/>
      <c r="IH6" s="1181"/>
      <c r="II6" s="1181"/>
      <c r="IJ6" s="1181"/>
      <c r="IK6" s="1181"/>
      <c r="IL6" s="1181"/>
      <c r="IM6" s="1181"/>
      <c r="IN6" s="1181"/>
      <c r="IO6" s="1181"/>
      <c r="IP6" s="1181"/>
      <c r="IQ6" s="1181"/>
      <c r="IR6" s="1181"/>
      <c r="IS6" s="1181"/>
      <c r="IT6" s="1181"/>
      <c r="IU6" s="1181"/>
      <c r="IV6" s="1181"/>
      <c r="IW6" s="1181"/>
      <c r="IX6" s="1181"/>
      <c r="IY6" s="1181"/>
      <c r="IZ6" s="1181"/>
      <c r="JA6" s="1181"/>
      <c r="JB6" s="1181"/>
      <c r="JC6" s="1181"/>
      <c r="JD6" s="1181"/>
      <c r="JE6" s="1181"/>
      <c r="JF6" s="1181"/>
      <c r="JG6" s="1181"/>
      <c r="JH6" s="1181"/>
      <c r="JI6" s="1181"/>
      <c r="JJ6" s="1181"/>
      <c r="JK6" s="1181"/>
      <c r="JL6" s="1181"/>
      <c r="JM6" s="1181"/>
      <c r="JN6" s="1181"/>
      <c r="JO6" s="1181"/>
      <c r="JP6" s="1181"/>
      <c r="JQ6" s="1181"/>
      <c r="JR6" s="1181"/>
      <c r="JS6" s="1181"/>
      <c r="JT6" s="1181"/>
      <c r="JU6" s="1181"/>
      <c r="JV6" s="1181"/>
      <c r="JW6" s="1181"/>
      <c r="JX6" s="1181"/>
      <c r="JY6" s="1181"/>
      <c r="JZ6" s="1181"/>
      <c r="KA6" s="1181"/>
      <c r="KB6" s="1181"/>
      <c r="KC6" s="1227"/>
      <c r="KD6" s="1181"/>
      <c r="KE6" s="1181"/>
      <c r="KF6" s="1181"/>
      <c r="KG6" s="1181"/>
      <c r="KH6" s="1227"/>
      <c r="KI6" s="1181"/>
      <c r="KJ6" s="1181"/>
      <c r="KK6" s="1191"/>
      <c r="KL6" s="1275"/>
      <c r="KM6" s="1181"/>
      <c r="KN6" s="1181"/>
      <c r="KO6" s="1181"/>
      <c r="KP6" s="1181"/>
      <c r="KQ6" s="1191"/>
      <c r="KR6" s="1275"/>
      <c r="KS6" s="1181"/>
      <c r="KT6" s="1181"/>
      <c r="KU6" s="1181"/>
      <c r="KV6" s="1181"/>
      <c r="KW6" s="1181"/>
      <c r="KX6" s="1181"/>
      <c r="KY6" s="1181"/>
      <c r="KZ6" s="1181"/>
      <c r="LA6" s="1181"/>
      <c r="LB6" s="1181"/>
      <c r="LC6" s="1181"/>
      <c r="LD6" s="1181"/>
      <c r="LE6" s="1181"/>
      <c r="LF6" s="1181"/>
      <c r="LG6" s="1181"/>
      <c r="LH6" s="1181"/>
      <c r="LI6" s="1181"/>
      <c r="LJ6" s="1362"/>
      <c r="LK6" s="1181"/>
      <c r="LL6" s="1298"/>
      <c r="LM6" s="1298"/>
      <c r="LN6" s="1181"/>
      <c r="LO6" s="1181"/>
      <c r="LP6" s="1181"/>
      <c r="LQ6" s="1362"/>
      <c r="LR6" s="1181"/>
      <c r="LS6" s="1298"/>
      <c r="LT6" s="1298"/>
      <c r="LU6" s="1181"/>
      <c r="LV6" s="1181"/>
      <c r="LW6" s="1181"/>
      <c r="LX6" s="1362"/>
      <c r="LY6" s="1181"/>
      <c r="LZ6" s="1181"/>
      <c r="MA6" s="1181"/>
      <c r="MB6" s="1181"/>
      <c r="MC6" s="1362"/>
      <c r="MD6" s="1181"/>
      <c r="ME6" s="1181"/>
      <c r="MF6" s="1181"/>
      <c r="MG6" s="1181"/>
      <c r="MH6" s="1181"/>
      <c r="MI6" s="1181"/>
      <c r="MJ6" s="1181"/>
      <c r="MK6" s="1181"/>
      <c r="ML6" s="1181"/>
      <c r="MM6" s="1181"/>
      <c r="MN6" s="1181"/>
      <c r="MO6" s="1181"/>
      <c r="MP6" s="1181"/>
      <c r="MQ6" s="1181"/>
      <c r="MR6" s="1181"/>
      <c r="MS6" s="1181"/>
      <c r="MT6" s="1181"/>
      <c r="MU6" s="1181"/>
      <c r="MV6" s="1181"/>
      <c r="MW6" s="1181"/>
      <c r="MX6" s="1181"/>
      <c r="MY6" s="1181"/>
      <c r="MZ6" s="1181"/>
      <c r="NA6" s="1181"/>
      <c r="NB6" s="1181"/>
      <c r="NC6" s="1181"/>
      <c r="ND6" s="1181"/>
      <c r="NE6" s="1181"/>
      <c r="NF6" s="1181"/>
      <c r="NG6" s="1181"/>
      <c r="NH6" s="1181"/>
      <c r="NI6" s="1181"/>
      <c r="NJ6" s="1181"/>
      <c r="NK6" s="1181"/>
      <c r="NL6" s="1181"/>
      <c r="NM6" s="1181"/>
      <c r="NN6" s="1181"/>
      <c r="NO6" s="1181"/>
      <c r="NP6" s="1181"/>
      <c r="NQ6" s="1181"/>
      <c r="NR6" s="1181"/>
      <c r="NS6" s="1181"/>
      <c r="NT6" s="1181"/>
      <c r="NU6" s="1181"/>
      <c r="NV6" s="1181"/>
      <c r="NW6" s="1181"/>
      <c r="NX6" s="1181"/>
      <c r="NY6" s="1181"/>
      <c r="NZ6" s="1181"/>
      <c r="OA6" s="1181"/>
      <c r="OB6" s="1181"/>
      <c r="OC6" s="1181"/>
      <c r="OD6" s="1181"/>
      <c r="OE6" s="1181"/>
      <c r="OF6" s="1181"/>
      <c r="OG6" s="1181"/>
      <c r="OH6" s="1181"/>
      <c r="OI6" s="1181"/>
      <c r="OJ6" s="1181"/>
      <c r="OK6" s="1181"/>
      <c r="OL6" s="1181"/>
      <c r="OM6" s="1181"/>
      <c r="ON6" s="1181"/>
      <c r="OO6" s="1181"/>
      <c r="OP6" s="1181"/>
      <c r="OQ6" s="1181"/>
      <c r="OR6" s="1181"/>
      <c r="OS6" s="1215"/>
      <c r="OT6" s="1215"/>
      <c r="OU6" s="1215"/>
      <c r="OV6" s="1282"/>
      <c r="OW6" s="1282"/>
      <c r="OX6" s="1215"/>
      <c r="OY6" s="1215"/>
      <c r="OZ6" s="1215"/>
      <c r="PA6" s="1215"/>
      <c r="PB6" s="1215"/>
      <c r="PC6" s="1282"/>
      <c r="PD6" s="1282"/>
      <c r="PE6" s="1215"/>
      <c r="PF6" s="1215"/>
      <c r="PG6" s="1215"/>
      <c r="PH6" s="1215"/>
      <c r="PI6" s="1215"/>
      <c r="PJ6" s="1215"/>
      <c r="PK6" s="1215"/>
      <c r="PL6" s="1282"/>
      <c r="PM6" s="1282"/>
      <c r="PN6" s="1215"/>
      <c r="PO6" s="1215"/>
      <c r="PP6" s="1215"/>
      <c r="PQ6" s="1215"/>
      <c r="PR6" s="1215"/>
      <c r="PS6" s="1215"/>
      <c r="PT6" s="1215"/>
      <c r="PU6" s="1282"/>
      <c r="PV6" s="1282"/>
      <c r="PW6" s="1215"/>
      <c r="PX6" s="1215"/>
      <c r="PY6" s="1215"/>
      <c r="PZ6" s="1215"/>
      <c r="QA6" s="1215"/>
      <c r="QB6" s="1215"/>
      <c r="QC6" s="1215"/>
      <c r="QD6" s="1282"/>
      <c r="QE6" s="1282"/>
      <c r="QF6" s="1215"/>
      <c r="QG6" s="1215"/>
      <c r="QH6" s="1215"/>
      <c r="QI6" s="1215"/>
      <c r="QJ6" s="1215"/>
      <c r="QK6" s="1215"/>
      <c r="QL6" s="1215"/>
      <c r="QM6" s="1282"/>
      <c r="QN6" s="1282"/>
      <c r="QO6" s="1215"/>
      <c r="QP6" s="1215"/>
      <c r="QQ6" s="1215"/>
      <c r="QR6" s="1215"/>
      <c r="QS6" s="1215"/>
      <c r="QT6" s="1215"/>
      <c r="QU6" s="1215"/>
      <c r="QV6" s="1282"/>
      <c r="QW6" s="1282"/>
      <c r="QX6" s="1215"/>
      <c r="QY6" s="1215"/>
      <c r="QZ6" s="1215"/>
      <c r="RA6" s="1215"/>
      <c r="RB6" s="1215"/>
      <c r="RC6" s="1215"/>
      <c r="RD6" s="1215"/>
      <c r="RE6" s="1282"/>
      <c r="RF6" s="1282"/>
      <c r="RG6" s="1215"/>
      <c r="RH6" s="1215"/>
      <c r="RI6" s="1181"/>
      <c r="RJ6" s="1181"/>
      <c r="RK6" s="1181"/>
      <c r="RL6" s="1181"/>
      <c r="RM6" s="1181"/>
      <c r="RN6" s="1181"/>
      <c r="RO6" s="1181"/>
      <c r="RP6" s="1181"/>
      <c r="RQ6" s="1181"/>
      <c r="RR6" s="1181"/>
      <c r="RS6" s="1181"/>
      <c r="RT6" s="1181"/>
      <c r="RU6" s="1181"/>
      <c r="RV6" s="1181"/>
      <c r="RW6" s="1181"/>
      <c r="RX6" s="1181"/>
      <c r="RY6" s="1181"/>
      <c r="RZ6" s="1181"/>
      <c r="SA6" s="1181"/>
      <c r="SB6" s="1181"/>
      <c r="SC6" s="1181"/>
      <c r="SD6" s="1181"/>
      <c r="SE6" s="1181"/>
      <c r="SF6" s="1181"/>
      <c r="SG6" s="1181"/>
      <c r="SH6" s="1181"/>
      <c r="SI6" s="1181"/>
      <c r="SJ6" s="1181"/>
      <c r="SK6" s="1181"/>
      <c r="SL6" s="1181"/>
      <c r="SM6" s="1181"/>
      <c r="SN6" s="1181"/>
      <c r="SO6" s="1181"/>
      <c r="SP6" s="1181"/>
      <c r="SQ6" s="1181"/>
      <c r="SR6" s="1181"/>
      <c r="SS6" s="1181"/>
      <c r="ST6" s="1181"/>
      <c r="SU6" s="1181"/>
      <c r="SV6" s="1181"/>
      <c r="SW6" s="1181"/>
      <c r="SX6" s="1181"/>
      <c r="SY6" s="1181"/>
      <c r="SZ6" s="1181"/>
      <c r="TA6" s="1181"/>
      <c r="TB6" s="1227"/>
      <c r="TC6" s="1227"/>
      <c r="TD6" s="1468"/>
      <c r="TE6" s="1468"/>
      <c r="TF6" s="1227"/>
      <c r="TG6" s="1181"/>
      <c r="TH6" s="1181"/>
      <c r="TI6" s="1181"/>
      <c r="TJ6" s="1181"/>
      <c r="TK6" s="1227"/>
      <c r="TL6" s="1227"/>
      <c r="TM6" s="1468"/>
      <c r="TN6" s="1468"/>
      <c r="TO6" s="1227"/>
      <c r="TP6" s="1181"/>
      <c r="TQ6" s="1456"/>
      <c r="TR6" s="1456"/>
      <c r="TS6" s="1456"/>
      <c r="TT6" s="1456"/>
      <c r="TU6" s="1456"/>
      <c r="TV6" s="1456"/>
      <c r="TW6" s="1456"/>
      <c r="TX6" s="1456"/>
      <c r="TY6" s="1456"/>
      <c r="TZ6" s="1456"/>
      <c r="UA6" s="1456"/>
      <c r="UB6" s="1456"/>
      <c r="UC6" s="1181"/>
      <c r="UD6" s="1181"/>
      <c r="UE6" s="1181"/>
      <c r="UF6" s="1181"/>
      <c r="UG6" s="1181"/>
      <c r="UH6" s="1181"/>
      <c r="UI6" s="1181"/>
      <c r="UJ6" s="1181"/>
      <c r="UK6" s="1181"/>
      <c r="UL6" s="1181"/>
      <c r="UM6" s="1181"/>
      <c r="UN6" s="1181"/>
      <c r="UO6" s="1181"/>
      <c r="UP6" s="1181"/>
      <c r="UQ6" s="1181"/>
      <c r="UR6" s="1181"/>
      <c r="US6" s="1181"/>
      <c r="UT6" s="1181"/>
      <c r="UU6" s="1181"/>
      <c r="UV6" s="1181"/>
      <c r="UW6" s="1181"/>
      <c r="UX6" s="1181"/>
      <c r="UY6" s="1181"/>
      <c r="UZ6" s="1181"/>
      <c r="VA6" s="1181"/>
      <c r="VB6" s="1181"/>
      <c r="VC6" s="1181"/>
      <c r="VD6" s="1181"/>
      <c r="VE6" s="1181"/>
      <c r="VF6" s="1181"/>
      <c r="VG6" s="1181"/>
      <c r="VH6" s="1181"/>
      <c r="VI6" s="1181"/>
      <c r="VJ6" s="1181"/>
      <c r="VK6" s="1181"/>
      <c r="VL6" s="1181"/>
      <c r="VM6" s="1181"/>
      <c r="VN6" s="1180"/>
      <c r="VO6" s="1163"/>
      <c r="VP6" s="1163"/>
      <c r="VQ6" s="1163"/>
      <c r="VR6" s="1163"/>
      <c r="VS6" s="1163"/>
      <c r="VT6" s="1163"/>
      <c r="VU6" s="1163"/>
      <c r="VV6" s="1163"/>
      <c r="VW6" s="1163"/>
      <c r="VX6" s="1163"/>
      <c r="VY6" s="1163"/>
      <c r="VZ6" s="1163"/>
      <c r="WA6" s="1163"/>
      <c r="WB6" s="1163"/>
      <c r="WC6" s="1163"/>
      <c r="WD6" s="1163"/>
      <c r="WE6" s="1163"/>
      <c r="WF6" s="1164"/>
      <c r="WI6" s="72"/>
    </row>
    <row r="7" spans="1:607" ht="75.75" customHeight="1" thickBot="1" x14ac:dyDescent="0.3">
      <c r="A7" s="1521"/>
      <c r="B7" s="1523"/>
      <c r="C7" s="1559"/>
      <c r="D7" s="1516" t="s">
        <v>486</v>
      </c>
      <c r="E7" s="1517"/>
      <c r="F7" s="1517"/>
      <c r="G7" s="1517"/>
      <c r="H7" s="1517"/>
      <c r="I7" s="1517"/>
      <c r="J7" s="1517"/>
      <c r="K7" s="1517"/>
      <c r="L7" s="1517"/>
      <c r="M7" s="1517"/>
      <c r="N7" s="1517"/>
      <c r="O7" s="1517"/>
      <c r="P7" s="1517"/>
      <c r="Q7" s="1517"/>
      <c r="R7" s="1517"/>
      <c r="S7" s="1517"/>
      <c r="T7" s="1517"/>
      <c r="U7" s="1517"/>
      <c r="V7" s="1517"/>
      <c r="W7" s="1517"/>
      <c r="X7" s="1517"/>
      <c r="Y7" s="1517"/>
      <c r="Z7" s="1517"/>
      <c r="AA7" s="1517"/>
      <c r="AB7" s="1517"/>
      <c r="AC7" s="1517"/>
      <c r="AD7" s="1517"/>
      <c r="AE7" s="1517"/>
      <c r="AF7" s="1517"/>
      <c r="AG7" s="1517"/>
      <c r="AH7" s="1517"/>
      <c r="AI7" s="1519" t="s">
        <v>470</v>
      </c>
      <c r="AJ7" s="1520"/>
      <c r="AK7" s="1520"/>
      <c r="AL7" s="1520"/>
      <c r="AM7" s="1520"/>
      <c r="AN7" s="1520"/>
      <c r="AO7" s="1520"/>
      <c r="AP7" s="1520"/>
      <c r="AQ7" s="1520"/>
      <c r="AR7" s="1520"/>
      <c r="AS7" s="1520"/>
      <c r="AT7" s="1520"/>
      <c r="AU7" s="1520"/>
      <c r="AV7" s="1520"/>
      <c r="AW7" s="1520"/>
      <c r="AX7" s="1520"/>
      <c r="AY7" s="1520"/>
      <c r="AZ7" s="1520"/>
      <c r="BA7" s="1520"/>
      <c r="BB7" s="1520"/>
      <c r="BC7" s="1520"/>
      <c r="BD7" s="1520"/>
      <c r="BE7" s="1520"/>
      <c r="BF7" s="1520"/>
      <c r="BG7" s="1520"/>
      <c r="BH7" s="1520"/>
      <c r="BI7" s="1520"/>
      <c r="BJ7" s="1520"/>
      <c r="BK7" s="1520"/>
      <c r="BL7" s="1520"/>
      <c r="BM7" s="1520"/>
      <c r="BN7" s="1520"/>
      <c r="BO7" s="1520"/>
      <c r="BP7" s="1520"/>
      <c r="BQ7" s="1520"/>
      <c r="BR7" s="1520"/>
      <c r="BS7" s="1520"/>
      <c r="BT7" s="1520"/>
      <c r="BU7" s="1520"/>
      <c r="BV7" s="1520"/>
      <c r="BW7" s="1520"/>
      <c r="BX7" s="1520"/>
      <c r="BY7" s="1520"/>
      <c r="BZ7" s="1520"/>
      <c r="CA7" s="1520"/>
      <c r="CB7" s="1520"/>
      <c r="CC7" s="1520"/>
      <c r="CD7" s="1520"/>
      <c r="CE7" s="1520"/>
      <c r="CF7" s="1520"/>
      <c r="CG7" s="1520"/>
      <c r="CH7" s="1520"/>
      <c r="CI7" s="1520"/>
      <c r="CJ7" s="1520"/>
      <c r="CK7" s="1520"/>
      <c r="CL7" s="1520"/>
      <c r="CM7" s="1520"/>
      <c r="CN7" s="1520"/>
      <c r="CO7" s="1520"/>
      <c r="CP7" s="1520"/>
      <c r="CQ7" s="1520"/>
      <c r="CR7" s="1520"/>
      <c r="CS7" s="1520"/>
      <c r="CT7" s="1520"/>
      <c r="CU7" s="1520"/>
      <c r="CV7" s="1520"/>
      <c r="CW7" s="1520"/>
      <c r="CX7" s="1520"/>
      <c r="CY7" s="1520"/>
      <c r="CZ7" s="1520"/>
      <c r="DA7" s="1520"/>
      <c r="DB7" s="1520"/>
      <c r="DC7" s="1520"/>
      <c r="DD7" s="1520"/>
      <c r="DE7" s="1520"/>
      <c r="DF7" s="1520"/>
      <c r="DG7" s="1520"/>
      <c r="DH7" s="1520"/>
      <c r="DI7" s="1520"/>
      <c r="DJ7" s="1520"/>
      <c r="DK7" s="1520"/>
      <c r="DL7" s="1520"/>
      <c r="DM7" s="1520"/>
      <c r="DN7" s="1520"/>
      <c r="DO7" s="1520"/>
      <c r="DP7" s="1520"/>
      <c r="DQ7" s="1520"/>
      <c r="DR7" s="1520"/>
      <c r="DS7" s="1520"/>
      <c r="DT7" s="1520"/>
      <c r="DU7" s="1520"/>
      <c r="DV7" s="1520"/>
      <c r="DW7" s="1520"/>
      <c r="DX7" s="1520"/>
      <c r="DY7" s="1520"/>
      <c r="DZ7" s="1520"/>
      <c r="EA7" s="1520"/>
      <c r="EB7" s="1520"/>
      <c r="EC7" s="1520"/>
      <c r="ED7" s="1520"/>
      <c r="EE7" s="1520"/>
      <c r="EF7" s="1520"/>
      <c r="EG7" s="1520"/>
      <c r="EH7" s="1520"/>
      <c r="EI7" s="1520"/>
      <c r="EJ7" s="1520"/>
      <c r="EK7" s="1520"/>
      <c r="EL7" s="1520"/>
      <c r="EM7" s="1520"/>
      <c r="EN7" s="1520"/>
      <c r="EO7" s="1520"/>
      <c r="EP7" s="1520"/>
      <c r="EQ7" s="1520"/>
      <c r="ER7" s="1520"/>
      <c r="ES7" s="1520"/>
      <c r="ET7" s="1520"/>
      <c r="EU7" s="1520"/>
      <c r="EV7" s="1520"/>
      <c r="EW7" s="1520"/>
      <c r="EX7" s="1520"/>
      <c r="EY7" s="1520"/>
      <c r="EZ7" s="1520"/>
      <c r="FA7" s="1520"/>
      <c r="FB7" s="1520"/>
      <c r="FC7" s="1520"/>
      <c r="FD7" s="1520"/>
      <c r="FE7" s="1520"/>
      <c r="FF7" s="1520"/>
      <c r="FG7" s="1520"/>
      <c r="FH7" s="1520"/>
      <c r="FI7" s="1520"/>
      <c r="FJ7" s="1520"/>
      <c r="FK7" s="1520"/>
      <c r="FL7" s="1520"/>
      <c r="FM7" s="1520"/>
      <c r="FN7" s="1520"/>
      <c r="FO7" s="1520"/>
      <c r="FP7" s="1520"/>
      <c r="FQ7" s="1520"/>
      <c r="FR7" s="1520"/>
      <c r="FS7" s="1520"/>
      <c r="FT7" s="1520"/>
      <c r="FU7" s="1520"/>
      <c r="FV7" s="1520"/>
      <c r="FW7" s="1520"/>
      <c r="FX7" s="1520"/>
      <c r="FY7" s="1520"/>
      <c r="FZ7" s="1520"/>
      <c r="GA7" s="1520"/>
      <c r="GB7" s="1520"/>
      <c r="GC7" s="1520"/>
      <c r="GD7" s="1520"/>
      <c r="GE7" s="1520"/>
      <c r="GF7" s="1520"/>
      <c r="GG7" s="1520"/>
      <c r="GH7" s="1520"/>
      <c r="GI7" s="1520"/>
      <c r="GJ7" s="1520"/>
      <c r="GK7" s="1520"/>
      <c r="GL7" s="1520"/>
      <c r="GM7" s="1520"/>
      <c r="GN7" s="1520"/>
      <c r="GO7" s="1520"/>
      <c r="GP7" s="1520"/>
      <c r="GQ7" s="1520"/>
      <c r="GR7" s="1520"/>
      <c r="GS7" s="1520"/>
      <c r="GT7" s="1520"/>
      <c r="GU7" s="1520"/>
      <c r="GV7" s="1520"/>
      <c r="GW7" s="1520"/>
      <c r="GX7" s="1520"/>
      <c r="GY7" s="1520"/>
      <c r="GZ7" s="1520"/>
      <c r="HA7" s="1520"/>
      <c r="HB7" s="1520"/>
      <c r="HC7" s="1520"/>
      <c r="HD7" s="1520"/>
      <c r="HE7" s="1520"/>
      <c r="HF7" s="1520"/>
      <c r="HG7" s="1520"/>
      <c r="HH7" s="1520"/>
      <c r="HI7" s="1520"/>
      <c r="HJ7" s="1520"/>
      <c r="HK7" s="1520"/>
      <c r="HL7" s="1520"/>
      <c r="HM7" s="1520"/>
      <c r="HN7" s="1520"/>
      <c r="HO7" s="1520"/>
      <c r="HP7" s="1520"/>
      <c r="HQ7" s="1520"/>
      <c r="HR7" s="1520"/>
      <c r="HS7" s="1520"/>
      <c r="HT7" s="1520"/>
      <c r="HU7" s="1520"/>
      <c r="HV7" s="1520"/>
      <c r="HW7" s="1520"/>
      <c r="HX7" s="1520"/>
      <c r="HY7" s="1520"/>
      <c r="HZ7" s="1520"/>
      <c r="IA7" s="1520"/>
      <c r="IB7" s="1520"/>
      <c r="IC7" s="1520"/>
      <c r="ID7" s="1520"/>
      <c r="IE7" s="1520"/>
      <c r="IF7" s="1520"/>
      <c r="IG7" s="1520"/>
      <c r="IH7" s="1520"/>
      <c r="II7" s="1520"/>
      <c r="IJ7" s="1520"/>
      <c r="IK7" s="1520"/>
      <c r="IL7" s="1520"/>
      <c r="IM7" s="1520"/>
      <c r="IN7" s="1520"/>
      <c r="IO7" s="1520"/>
      <c r="IP7" s="1520"/>
      <c r="IQ7" s="1520"/>
      <c r="IR7" s="1520"/>
      <c r="IS7" s="1520"/>
      <c r="IT7" s="1520"/>
      <c r="IU7" s="1520"/>
      <c r="IV7" s="1520"/>
      <c r="IW7" s="1520"/>
      <c r="IX7" s="1520"/>
      <c r="IY7" s="1520"/>
      <c r="IZ7" s="1520"/>
      <c r="JA7" s="1520"/>
      <c r="JB7" s="1520"/>
      <c r="JC7" s="1520"/>
      <c r="JD7" s="1520"/>
      <c r="JE7" s="1520"/>
      <c r="JF7" s="1520"/>
      <c r="JG7" s="1520"/>
      <c r="JH7" s="1520"/>
      <c r="JI7" s="1520"/>
      <c r="JJ7" s="1520"/>
      <c r="JK7" s="1520"/>
      <c r="JL7" s="1520"/>
      <c r="JM7" s="1520"/>
      <c r="JN7" s="1520"/>
      <c r="JO7" s="1520"/>
      <c r="JP7" s="1520"/>
      <c r="JQ7" s="1520"/>
      <c r="JR7" s="1520"/>
      <c r="JS7" s="1520"/>
      <c r="JT7" s="1520"/>
      <c r="JU7" s="1520"/>
      <c r="JV7" s="1520"/>
      <c r="JW7" s="1520"/>
      <c r="JX7" s="1520"/>
      <c r="JY7" s="1520"/>
      <c r="JZ7" s="1520"/>
      <c r="KA7" s="1520"/>
      <c r="KB7" s="1520"/>
      <c r="KC7" s="1520"/>
      <c r="KD7" s="1520"/>
      <c r="KE7" s="1520"/>
      <c r="KF7" s="1520"/>
      <c r="KG7" s="1520"/>
      <c r="KH7" s="1520"/>
      <c r="KI7" s="1520"/>
      <c r="KJ7" s="1520"/>
      <c r="KK7" s="1520"/>
      <c r="KL7" s="1520"/>
      <c r="KM7" s="1520"/>
      <c r="KN7" s="1520"/>
      <c r="KO7" s="1520"/>
      <c r="KP7" s="1520"/>
      <c r="KQ7" s="1520"/>
      <c r="KR7" s="1520"/>
      <c r="KS7" s="1520"/>
      <c r="KT7" s="1520"/>
      <c r="KU7" s="1520"/>
      <c r="KV7" s="1520"/>
      <c r="KW7" s="1520"/>
      <c r="KX7" s="1520"/>
      <c r="KY7" s="1520"/>
      <c r="KZ7" s="1520"/>
      <c r="LA7" s="1520"/>
      <c r="LB7" s="1520"/>
      <c r="LC7" s="1520"/>
      <c r="LD7" s="1520"/>
      <c r="LE7" s="1520"/>
      <c r="LF7" s="1520"/>
      <c r="LG7" s="1520"/>
      <c r="LH7" s="1520"/>
      <c r="LI7" s="1520"/>
      <c r="LJ7" s="1520"/>
      <c r="LK7" s="1520"/>
      <c r="LL7" s="1520"/>
      <c r="LM7" s="1520"/>
      <c r="LN7" s="1520"/>
      <c r="LO7" s="1520"/>
      <c r="LP7" s="1520"/>
      <c r="LQ7" s="1520"/>
      <c r="LR7" s="1520"/>
      <c r="LS7" s="1520"/>
      <c r="LT7" s="1520"/>
      <c r="LU7" s="1520"/>
      <c r="LV7" s="1520"/>
      <c r="LW7" s="1520"/>
      <c r="LX7" s="1520"/>
      <c r="LY7" s="1520"/>
      <c r="LZ7" s="1520"/>
      <c r="MA7" s="1520"/>
      <c r="MB7" s="1520"/>
      <c r="MC7" s="1520"/>
      <c r="MD7" s="1520"/>
      <c r="ME7" s="1520"/>
      <c r="MF7" s="1520"/>
      <c r="MG7" s="1520"/>
      <c r="MH7" s="1520"/>
      <c r="MI7" s="1520"/>
      <c r="MJ7" s="1520"/>
      <c r="MK7" s="1520"/>
      <c r="ML7" s="1520"/>
      <c r="MM7" s="1520"/>
      <c r="MN7" s="1520"/>
      <c r="MO7" s="1520"/>
      <c r="MP7" s="1520"/>
      <c r="MQ7" s="1520"/>
      <c r="MR7" s="1520"/>
      <c r="MS7" s="1520"/>
      <c r="MT7" s="1520"/>
      <c r="MU7" s="1520"/>
      <c r="MV7" s="1520"/>
      <c r="MW7" s="1520"/>
      <c r="MX7" s="1520"/>
      <c r="MY7" s="1520"/>
      <c r="MZ7" s="1520"/>
      <c r="NA7" s="1520"/>
      <c r="NB7" s="1520"/>
      <c r="NC7" s="1520"/>
      <c r="ND7" s="1520"/>
      <c r="NE7" s="1520"/>
      <c r="NF7" s="1520"/>
      <c r="NG7" s="1520"/>
      <c r="NH7" s="1520"/>
      <c r="NI7" s="1520"/>
      <c r="NJ7" s="1520"/>
      <c r="NK7" s="1520"/>
      <c r="NL7" s="1520"/>
      <c r="NM7" s="1520"/>
      <c r="NN7" s="1520"/>
      <c r="NO7" s="1520"/>
      <c r="NP7" s="1520"/>
      <c r="NQ7" s="1520"/>
      <c r="NR7" s="1520"/>
      <c r="NS7" s="1520"/>
      <c r="NT7" s="1520"/>
      <c r="NU7" s="1520"/>
      <c r="NV7" s="1520"/>
      <c r="NW7" s="1520"/>
      <c r="NX7" s="1520"/>
      <c r="NY7" s="1520"/>
      <c r="NZ7" s="1520"/>
      <c r="OA7" s="1520"/>
      <c r="OB7" s="1520"/>
      <c r="OC7" s="1520"/>
      <c r="OD7" s="1520"/>
      <c r="OE7" s="1520"/>
      <c r="OF7" s="1520"/>
      <c r="OG7" s="1520"/>
      <c r="OH7" s="1520"/>
      <c r="OI7" s="1520"/>
      <c r="OJ7" s="1520"/>
      <c r="OK7" s="1520"/>
      <c r="OL7" s="1520"/>
      <c r="OM7" s="1520"/>
      <c r="ON7" s="1520"/>
      <c r="OO7" s="1520"/>
      <c r="OP7" s="1520"/>
      <c r="OQ7" s="1520"/>
      <c r="OR7" s="1520"/>
      <c r="OS7" s="1520"/>
      <c r="OT7" s="1520"/>
      <c r="OU7" s="1520"/>
      <c r="OV7" s="1520"/>
      <c r="OW7" s="1520"/>
      <c r="OX7" s="1520"/>
      <c r="OY7" s="1520"/>
      <c r="OZ7" s="1520"/>
      <c r="PA7" s="1520"/>
      <c r="PB7" s="1520"/>
      <c r="PC7" s="1520"/>
      <c r="PD7" s="1520"/>
      <c r="PE7" s="1520"/>
      <c r="PF7" s="1520"/>
      <c r="PG7" s="1520"/>
      <c r="PH7" s="1520"/>
      <c r="PI7" s="1520"/>
      <c r="PJ7" s="1520"/>
      <c r="PK7" s="1520"/>
      <c r="PL7" s="1520"/>
      <c r="PM7" s="1520"/>
      <c r="PN7" s="1520"/>
      <c r="PO7" s="1520"/>
      <c r="PP7" s="1520"/>
      <c r="PQ7" s="1520"/>
      <c r="PR7" s="1520"/>
      <c r="PS7" s="1520"/>
      <c r="PT7" s="1520"/>
      <c r="PU7" s="1520"/>
      <c r="PV7" s="1520"/>
      <c r="PW7" s="1520"/>
      <c r="PX7" s="1520"/>
      <c r="PY7" s="1520"/>
      <c r="PZ7" s="1520"/>
      <c r="QA7" s="1520"/>
      <c r="QB7" s="1520"/>
      <c r="QC7" s="1520"/>
      <c r="QD7" s="1520"/>
      <c r="QE7" s="1520"/>
      <c r="QF7" s="1520"/>
      <c r="QG7" s="1520"/>
      <c r="QH7" s="1520"/>
      <c r="QI7" s="1520"/>
      <c r="QJ7" s="1520"/>
      <c r="QK7" s="1520"/>
      <c r="QL7" s="1520"/>
      <c r="QM7" s="1520"/>
      <c r="QN7" s="1520"/>
      <c r="QO7" s="1520"/>
      <c r="QP7" s="1520"/>
      <c r="QQ7" s="1520"/>
      <c r="QR7" s="1520"/>
      <c r="QS7" s="1520"/>
      <c r="QT7" s="1520"/>
      <c r="QU7" s="1520"/>
      <c r="QV7" s="1520"/>
      <c r="QW7" s="1520"/>
      <c r="QX7" s="1520"/>
      <c r="QY7" s="1520"/>
      <c r="QZ7" s="1520"/>
      <c r="RA7" s="1520"/>
      <c r="RB7" s="1520"/>
      <c r="RC7" s="1520"/>
      <c r="RD7" s="1520"/>
      <c r="RE7" s="1520"/>
      <c r="RF7" s="1520"/>
      <c r="RG7" s="1520"/>
      <c r="RH7" s="1520"/>
      <c r="RI7" s="1520"/>
      <c r="RJ7" s="1520"/>
      <c r="RK7" s="1520"/>
      <c r="RL7" s="1520"/>
      <c r="RM7" s="1520"/>
      <c r="RN7" s="1520"/>
      <c r="RO7" s="1520"/>
      <c r="RP7" s="1520"/>
      <c r="RQ7" s="1520"/>
      <c r="RR7" s="1524"/>
      <c r="RS7" s="1516" t="s">
        <v>471</v>
      </c>
      <c r="RT7" s="1517"/>
      <c r="RU7" s="1517"/>
      <c r="RV7" s="1517"/>
      <c r="RW7" s="1517"/>
      <c r="RX7" s="1517"/>
      <c r="RY7" s="1517"/>
      <c r="RZ7" s="1517"/>
      <c r="SA7" s="1517"/>
      <c r="SB7" s="1517"/>
      <c r="SC7" s="1517"/>
      <c r="SD7" s="1517"/>
      <c r="SE7" s="1517"/>
      <c r="SF7" s="1517"/>
      <c r="SG7" s="1517"/>
      <c r="SH7" s="1517"/>
      <c r="SI7" s="1517"/>
      <c r="SJ7" s="1517"/>
      <c r="SK7" s="1517"/>
      <c r="SL7" s="1517"/>
      <c r="SM7" s="1517"/>
      <c r="SN7" s="1517"/>
      <c r="SO7" s="1517"/>
      <c r="SP7" s="1517"/>
      <c r="SQ7" s="1517"/>
      <c r="SR7" s="1517"/>
      <c r="SS7" s="1517"/>
      <c r="ST7" s="1517"/>
      <c r="SU7" s="1517"/>
      <c r="SV7" s="1517"/>
      <c r="SW7" s="1575" t="s">
        <v>472</v>
      </c>
      <c r="SX7" s="1576"/>
      <c r="SY7" s="1576"/>
      <c r="SZ7" s="1576"/>
      <c r="TA7" s="1576"/>
      <c r="TB7" s="1576"/>
      <c r="TC7" s="1576"/>
      <c r="TD7" s="1576"/>
      <c r="TE7" s="1576"/>
      <c r="TF7" s="1576"/>
      <c r="TG7" s="1576"/>
      <c r="TH7" s="1576"/>
      <c r="TI7" s="1576"/>
      <c r="TJ7" s="1576"/>
      <c r="TK7" s="1576"/>
      <c r="TL7" s="1576"/>
      <c r="TM7" s="1576"/>
      <c r="TN7" s="1576"/>
      <c r="TO7" s="1576"/>
      <c r="TP7" s="1576"/>
      <c r="TQ7" s="1576"/>
      <c r="TR7" s="1576"/>
      <c r="TS7" s="1576"/>
      <c r="TT7" s="1576"/>
      <c r="TU7" s="1576"/>
      <c r="TV7" s="1576"/>
      <c r="TW7" s="1576"/>
      <c r="TX7" s="1576"/>
      <c r="TY7" s="1576"/>
      <c r="TZ7" s="1576"/>
      <c r="UA7" s="1576"/>
      <c r="UB7" s="1576"/>
      <c r="UC7" s="1576"/>
      <c r="UD7" s="1576"/>
      <c r="UE7" s="1576"/>
      <c r="UF7" s="1576"/>
      <c r="UG7" s="1576"/>
      <c r="UH7" s="1576"/>
      <c r="UI7" s="1576"/>
      <c r="UJ7" s="1576"/>
      <c r="UK7" s="1576"/>
      <c r="UL7" s="1576"/>
      <c r="UM7" s="1576"/>
      <c r="UN7" s="1576"/>
      <c r="UO7" s="1576"/>
      <c r="UP7" s="1576"/>
      <c r="UQ7" s="1576"/>
      <c r="UR7" s="1576"/>
      <c r="US7" s="1576"/>
      <c r="UT7" s="1576"/>
      <c r="UU7" s="1576"/>
      <c r="UV7" s="1576"/>
      <c r="UW7" s="1576"/>
      <c r="UX7" s="1576"/>
      <c r="UY7" s="1576"/>
      <c r="UZ7" s="1576"/>
      <c r="VA7" s="1576"/>
      <c r="VB7" s="1576"/>
      <c r="VC7" s="1576"/>
      <c r="VD7" s="1576"/>
      <c r="VE7" s="1576"/>
      <c r="VF7" s="1576"/>
      <c r="VG7" s="1576"/>
      <c r="VH7" s="1576"/>
      <c r="VI7" s="1576"/>
      <c r="VJ7" s="1576"/>
      <c r="VK7" s="1576"/>
      <c r="VL7" s="1576"/>
      <c r="VM7" s="1576"/>
      <c r="VN7" s="1614"/>
      <c r="VO7" s="1558" t="s">
        <v>17</v>
      </c>
      <c r="VP7" s="1558" t="s">
        <v>18</v>
      </c>
      <c r="VQ7" s="1609" t="s">
        <v>168</v>
      </c>
      <c r="VR7" s="1610"/>
      <c r="VS7" s="1610"/>
      <c r="VT7" s="1610"/>
      <c r="VU7" s="1610"/>
      <c r="VV7" s="1610"/>
      <c r="VW7" s="1610"/>
      <c r="VX7" s="1611"/>
      <c r="VY7" s="1593" t="s">
        <v>169</v>
      </c>
      <c r="VZ7" s="1607"/>
      <c r="WA7" s="1607"/>
      <c r="WB7" s="1607"/>
      <c r="WC7" s="1607"/>
      <c r="WD7" s="1607"/>
      <c r="WE7" s="1607"/>
      <c r="WF7" s="1594"/>
      <c r="WI7" s="72"/>
    </row>
    <row r="8" spans="1:607" ht="177" customHeight="1" thickBot="1" x14ac:dyDescent="0.3">
      <c r="A8" s="1521"/>
      <c r="B8" s="1516"/>
      <c r="C8" s="1518"/>
      <c r="D8" s="1558" t="s">
        <v>17</v>
      </c>
      <c r="E8" s="1558" t="s">
        <v>18</v>
      </c>
      <c r="F8" s="1549" t="s">
        <v>521</v>
      </c>
      <c r="G8" s="1550"/>
      <c r="H8" s="1550"/>
      <c r="I8" s="1550"/>
      <c r="J8" s="1550"/>
      <c r="K8" s="1550"/>
      <c r="L8" s="1550"/>
      <c r="M8" s="1564"/>
      <c r="N8" s="1540" t="s">
        <v>734</v>
      </c>
      <c r="O8" s="1541"/>
      <c r="P8" s="1541"/>
      <c r="Q8" s="1541"/>
      <c r="R8" s="1541"/>
      <c r="S8" s="1541"/>
      <c r="T8" s="1541"/>
      <c r="U8" s="1541"/>
      <c r="V8" s="1540" t="s">
        <v>516</v>
      </c>
      <c r="W8" s="1541"/>
      <c r="X8" s="1541"/>
      <c r="Y8" s="1541"/>
      <c r="Z8" s="1541"/>
      <c r="AA8" s="1541"/>
      <c r="AB8" s="1541"/>
      <c r="AC8" s="1541"/>
      <c r="AD8" s="1541"/>
      <c r="AE8" s="1541"/>
      <c r="AF8" s="1541"/>
      <c r="AG8" s="1541"/>
      <c r="AH8" s="1560"/>
      <c r="AI8" s="1521" t="s">
        <v>17</v>
      </c>
      <c r="AJ8" s="1521" t="s">
        <v>18</v>
      </c>
      <c r="AK8" s="1519" t="s">
        <v>755</v>
      </c>
      <c r="AL8" s="1520"/>
      <c r="AM8" s="1520"/>
      <c r="AN8" s="1520"/>
      <c r="AO8" s="1520"/>
      <c r="AP8" s="1520"/>
      <c r="AQ8" s="1520"/>
      <c r="AR8" s="1520"/>
      <c r="AS8" s="1520"/>
      <c r="AT8" s="1520"/>
      <c r="AU8" s="1520"/>
      <c r="AV8" s="1520"/>
      <c r="AW8" s="1520"/>
      <c r="AX8" s="1520"/>
      <c r="AY8" s="1520"/>
      <c r="AZ8" s="1520"/>
      <c r="BA8" s="1520"/>
      <c r="BB8" s="1520"/>
      <c r="BC8" s="1520"/>
      <c r="BD8" s="1520"/>
      <c r="BE8" s="1520"/>
      <c r="BF8" s="1520"/>
      <c r="BG8" s="1520"/>
      <c r="BH8" s="1520"/>
      <c r="BI8" s="1520"/>
      <c r="BJ8" s="1520"/>
      <c r="BK8" s="1520"/>
      <c r="BL8" s="1520"/>
      <c r="BM8" s="1520"/>
      <c r="BN8" s="1520"/>
      <c r="BO8" s="1520"/>
      <c r="BP8" s="1520"/>
      <c r="BQ8" s="1520"/>
      <c r="BR8" s="1520"/>
      <c r="BS8" s="1520"/>
      <c r="BT8" s="1520"/>
      <c r="BU8" s="1520"/>
      <c r="BV8" s="1520"/>
      <c r="BW8" s="1520"/>
      <c r="BX8" s="1520"/>
      <c r="BY8" s="1520"/>
      <c r="BZ8" s="1520"/>
      <c r="CA8" s="1520"/>
      <c r="CB8" s="1520"/>
      <c r="CC8" s="1520"/>
      <c r="CD8" s="1520"/>
      <c r="CE8" s="1520"/>
      <c r="CF8" s="1524"/>
      <c r="CG8" s="1519" t="s">
        <v>511</v>
      </c>
      <c r="CH8" s="1520"/>
      <c r="CI8" s="1520"/>
      <c r="CJ8" s="1520"/>
      <c r="CK8" s="1520"/>
      <c r="CL8" s="1520"/>
      <c r="CM8" s="1520"/>
      <c r="CN8" s="1520"/>
      <c r="CO8" s="1520"/>
      <c r="CP8" s="1520"/>
      <c r="CQ8" s="1520"/>
      <c r="CR8" s="1520"/>
      <c r="CS8" s="1520"/>
      <c r="CT8" s="1520"/>
      <c r="CU8" s="1520"/>
      <c r="CV8" s="1520"/>
      <c r="CW8" s="1520"/>
      <c r="CX8" s="1520"/>
      <c r="CY8" s="1520"/>
      <c r="CZ8" s="1520"/>
      <c r="DA8" s="1520"/>
      <c r="DB8" s="1520"/>
      <c r="DC8" s="1520"/>
      <c r="DD8" s="1524"/>
      <c r="DE8" s="1519" t="s">
        <v>312</v>
      </c>
      <c r="DF8" s="1520"/>
      <c r="DG8" s="1520"/>
      <c r="DH8" s="1520"/>
      <c r="DI8" s="1520"/>
      <c r="DJ8" s="1520"/>
      <c r="DK8" s="1520"/>
      <c r="DL8" s="1524"/>
      <c r="DM8" s="1519" t="s">
        <v>506</v>
      </c>
      <c r="DN8" s="1520"/>
      <c r="DO8" s="1520"/>
      <c r="DP8" s="1520"/>
      <c r="DQ8" s="1520"/>
      <c r="DR8" s="1520"/>
      <c r="DS8" s="1520"/>
      <c r="DT8" s="1524"/>
      <c r="DU8" s="1519" t="s">
        <v>503</v>
      </c>
      <c r="DV8" s="1520"/>
      <c r="DW8" s="1520"/>
      <c r="DX8" s="1520"/>
      <c r="DY8" s="1520"/>
      <c r="DZ8" s="1520"/>
      <c r="EA8" s="1520"/>
      <c r="EB8" s="1520"/>
      <c r="EC8" s="1520"/>
      <c r="ED8" s="1520"/>
      <c r="EE8" s="1520"/>
      <c r="EF8" s="1520"/>
      <c r="EG8" s="1520"/>
      <c r="EH8" s="1520"/>
      <c r="EI8" s="1520"/>
      <c r="EJ8" s="1520"/>
      <c r="EK8" s="1520"/>
      <c r="EL8" s="1520"/>
      <c r="EM8" s="1520"/>
      <c r="EN8" s="1520"/>
      <c r="EO8" s="1520"/>
      <c r="EP8" s="1520"/>
      <c r="EQ8" s="1520"/>
      <c r="ER8" s="1520"/>
      <c r="ES8" s="1519" t="s">
        <v>500</v>
      </c>
      <c r="ET8" s="1520"/>
      <c r="EU8" s="1520"/>
      <c r="EV8" s="1520"/>
      <c r="EW8" s="1520"/>
      <c r="EX8" s="1524"/>
      <c r="EY8" s="1519" t="s">
        <v>855</v>
      </c>
      <c r="EZ8" s="1520"/>
      <c r="FA8" s="1520"/>
      <c r="FB8" s="1520"/>
      <c r="FC8" s="1520"/>
      <c r="FD8" s="1524"/>
      <c r="FE8" s="1577" t="s">
        <v>613</v>
      </c>
      <c r="FF8" s="1578"/>
      <c r="FG8" s="1578"/>
      <c r="FH8" s="1578"/>
      <c r="FI8" s="1578"/>
      <c r="FJ8" s="1578"/>
      <c r="FK8" s="1578"/>
      <c r="FL8" s="1578"/>
      <c r="FM8" s="1578"/>
      <c r="FN8" s="1579"/>
      <c r="FO8" s="1519" t="s">
        <v>592</v>
      </c>
      <c r="FP8" s="1520"/>
      <c r="FQ8" s="1520"/>
      <c r="FR8" s="1520"/>
      <c r="FS8" s="1520"/>
      <c r="FT8" s="1524"/>
      <c r="FU8" s="1519" t="s">
        <v>497</v>
      </c>
      <c r="FV8" s="1520"/>
      <c r="FW8" s="1520"/>
      <c r="FX8" s="1520"/>
      <c r="FY8" s="1520"/>
      <c r="FZ8" s="1520"/>
      <c r="GA8" s="1519" t="s">
        <v>492</v>
      </c>
      <c r="GB8" s="1520"/>
      <c r="GC8" s="1520"/>
      <c r="GD8" s="1520"/>
      <c r="GE8" s="1520"/>
      <c r="GF8" s="1520"/>
      <c r="GG8" s="1520"/>
      <c r="GH8" s="1520"/>
      <c r="GI8" s="1520"/>
      <c r="GJ8" s="1520"/>
      <c r="GK8" s="1520"/>
      <c r="GL8" s="1520"/>
      <c r="GM8" s="1520"/>
      <c r="GN8" s="1520"/>
      <c r="GO8" s="1520"/>
      <c r="GP8" s="1520"/>
      <c r="GQ8" s="1520"/>
      <c r="GR8" s="1520"/>
      <c r="GS8" s="1520"/>
      <c r="GT8" s="1520"/>
      <c r="GU8" s="1520"/>
      <c r="GV8" s="1520"/>
      <c r="GW8" s="1520"/>
      <c r="GX8" s="1524"/>
      <c r="GY8" s="1519" t="s">
        <v>819</v>
      </c>
      <c r="GZ8" s="1520"/>
      <c r="HA8" s="1520"/>
      <c r="HB8" s="1520"/>
      <c r="HC8" s="1520"/>
      <c r="HD8" s="1520"/>
      <c r="HE8" s="1519" t="s">
        <v>487</v>
      </c>
      <c r="HF8" s="1520"/>
      <c r="HG8" s="1520"/>
      <c r="HH8" s="1520"/>
      <c r="HI8" s="1520"/>
      <c r="HJ8" s="1520"/>
      <c r="HK8" s="1520"/>
      <c r="HL8" s="1520"/>
      <c r="HM8" s="1520"/>
      <c r="HN8" s="1520"/>
      <c r="HO8" s="1520"/>
      <c r="HP8" s="1520"/>
      <c r="HQ8" s="1520"/>
      <c r="HR8" s="1520"/>
      <c r="HS8" s="1520"/>
      <c r="HT8" s="1520"/>
      <c r="HU8" s="1520"/>
      <c r="HV8" s="1520"/>
      <c r="HW8" s="1520"/>
      <c r="HX8" s="1520"/>
      <c r="HY8" s="1520"/>
      <c r="HZ8" s="1520"/>
      <c r="IA8" s="1520"/>
      <c r="IB8" s="1520"/>
      <c r="IC8" s="1520"/>
      <c r="ID8" s="1520"/>
      <c r="IE8" s="1520"/>
      <c r="IF8" s="1520"/>
      <c r="IG8" s="1520"/>
      <c r="IH8" s="1520"/>
      <c r="II8" s="1520"/>
      <c r="IJ8" s="1520"/>
      <c r="IK8" s="1520"/>
      <c r="IL8" s="1520"/>
      <c r="IM8" s="1520"/>
      <c r="IN8" s="1520"/>
      <c r="IO8" s="1520"/>
      <c r="IP8" s="1520"/>
      <c r="IQ8" s="1520"/>
      <c r="IR8" s="1520"/>
      <c r="IS8" s="1520"/>
      <c r="IT8" s="1520"/>
      <c r="IU8" s="1520"/>
      <c r="IV8" s="1520"/>
      <c r="IW8" s="1520"/>
      <c r="IX8" s="1520"/>
      <c r="IY8" s="1520"/>
      <c r="IZ8" s="1520"/>
      <c r="JA8" s="1520"/>
      <c r="JB8" s="1520"/>
      <c r="JC8" s="1520"/>
      <c r="JD8" s="1520"/>
      <c r="JE8" s="1520"/>
      <c r="JF8" s="1520"/>
      <c r="JG8" s="1520"/>
      <c r="JH8" s="1520"/>
      <c r="JI8" s="1520"/>
      <c r="JJ8" s="1520"/>
      <c r="JK8" s="1520"/>
      <c r="JL8" s="1520"/>
      <c r="JM8" s="1520"/>
      <c r="JN8" s="1520"/>
      <c r="JO8" s="1520"/>
      <c r="JP8" s="1520"/>
      <c r="JQ8" s="1520"/>
      <c r="JR8" s="1520"/>
      <c r="JS8" s="1520"/>
      <c r="JT8" s="1520"/>
      <c r="JU8" s="1520"/>
      <c r="JV8" s="1520"/>
      <c r="JW8" s="1520"/>
      <c r="JX8" s="1520"/>
      <c r="JY8" s="1519" t="s">
        <v>473</v>
      </c>
      <c r="JZ8" s="1520"/>
      <c r="KA8" s="1520"/>
      <c r="KB8" s="1520"/>
      <c r="KC8" s="1520"/>
      <c r="KD8" s="1520"/>
      <c r="KE8" s="1520"/>
      <c r="KF8" s="1520"/>
      <c r="KG8" s="1520"/>
      <c r="KH8" s="1524"/>
      <c r="KI8" s="1519" t="s">
        <v>480</v>
      </c>
      <c r="KJ8" s="1520"/>
      <c r="KK8" s="1520"/>
      <c r="KL8" s="1520"/>
      <c r="KM8" s="1520"/>
      <c r="KN8" s="1520"/>
      <c r="KO8" s="1520"/>
      <c r="KP8" s="1520"/>
      <c r="KQ8" s="1520"/>
      <c r="KR8" s="1520"/>
      <c r="KS8" s="1520"/>
      <c r="KT8" s="1520"/>
      <c r="KU8" s="1520"/>
      <c r="KV8" s="1520"/>
      <c r="KW8" s="1520"/>
      <c r="KX8" s="1520"/>
      <c r="KY8" s="1520"/>
      <c r="KZ8" s="1520"/>
      <c r="LA8" s="1520"/>
      <c r="LB8" s="1520"/>
      <c r="LC8" s="1520"/>
      <c r="LD8" s="1520"/>
      <c r="LE8" s="1520"/>
      <c r="LF8" s="1524"/>
      <c r="LG8" s="1519" t="s">
        <v>481</v>
      </c>
      <c r="LH8" s="1520"/>
      <c r="LI8" s="1520"/>
      <c r="LJ8" s="1520"/>
      <c r="LK8" s="1520"/>
      <c r="LL8" s="1520"/>
      <c r="LM8" s="1520"/>
      <c r="LN8" s="1520"/>
      <c r="LO8" s="1520"/>
      <c r="LP8" s="1520"/>
      <c r="LQ8" s="1520"/>
      <c r="LR8" s="1520"/>
      <c r="LS8" s="1520"/>
      <c r="LT8" s="1520"/>
      <c r="LU8" s="1520"/>
      <c r="LV8" s="1520"/>
      <c r="LW8" s="1520"/>
      <c r="LX8" s="1520"/>
      <c r="LY8" s="1520"/>
      <c r="LZ8" s="1520"/>
      <c r="MA8" s="1520"/>
      <c r="MB8" s="1520"/>
      <c r="MC8" s="1520"/>
      <c r="MD8" s="1520"/>
      <c r="ME8" s="1520"/>
      <c r="MF8" s="1520"/>
      <c r="MG8" s="1520"/>
      <c r="MH8" s="1520"/>
      <c r="MI8" s="1520"/>
      <c r="MJ8" s="1520"/>
      <c r="MK8" s="1520"/>
      <c r="ML8" s="1520"/>
      <c r="MM8" s="1520"/>
      <c r="MN8" s="1520"/>
      <c r="MO8" s="1520"/>
      <c r="MP8" s="1520"/>
      <c r="MQ8" s="1520"/>
      <c r="MR8" s="1520"/>
      <c r="MS8" s="1520"/>
      <c r="MT8" s="1520"/>
      <c r="MU8" s="615"/>
      <c r="MV8" s="615"/>
      <c r="MW8" s="615"/>
      <c r="MX8" s="616"/>
      <c r="MY8" s="1519" t="s">
        <v>467</v>
      </c>
      <c r="MZ8" s="1520"/>
      <c r="NA8" s="1520"/>
      <c r="NB8" s="1520"/>
      <c r="NC8" s="1520"/>
      <c r="ND8" s="1520"/>
      <c r="NE8" s="1520"/>
      <c r="NF8" s="1520"/>
      <c r="NG8" s="1520"/>
      <c r="NH8" s="1520"/>
      <c r="NI8" s="1520"/>
      <c r="NJ8" s="1520"/>
      <c r="NK8" s="1520"/>
      <c r="NL8" s="1520"/>
      <c r="NM8" s="1520"/>
      <c r="NN8" s="1520"/>
      <c r="NO8" s="1520"/>
      <c r="NP8" s="1520"/>
      <c r="NQ8" s="1520"/>
      <c r="NR8" s="1520"/>
      <c r="NS8" s="615"/>
      <c r="NT8" s="616"/>
      <c r="NU8" s="1519" t="s">
        <v>710</v>
      </c>
      <c r="NV8" s="1520"/>
      <c r="NW8" s="1520"/>
      <c r="NX8" s="1520"/>
      <c r="NY8" s="1520"/>
      <c r="NZ8" s="1520"/>
      <c r="OA8" s="1520"/>
      <c r="OB8" s="1520"/>
      <c r="OC8" s="1520"/>
      <c r="OD8" s="1520"/>
      <c r="OE8" s="1520"/>
      <c r="OF8" s="1520"/>
      <c r="OG8" s="1520"/>
      <c r="OH8" s="1520"/>
      <c r="OI8" s="1520"/>
      <c r="OJ8" s="1520"/>
      <c r="OK8" s="1520"/>
      <c r="OL8" s="1520"/>
      <c r="OM8" s="1520"/>
      <c r="ON8" s="1520"/>
      <c r="OO8" s="1520"/>
      <c r="OP8" s="1520"/>
      <c r="OQ8" s="615"/>
      <c r="OR8" s="616"/>
      <c r="OS8" s="1519" t="s">
        <v>696</v>
      </c>
      <c r="OT8" s="1520"/>
      <c r="OU8" s="1520"/>
      <c r="OV8" s="1520"/>
      <c r="OW8" s="1520"/>
      <c r="OX8" s="1520"/>
      <c r="OY8" s="1520"/>
      <c r="OZ8" s="1520"/>
      <c r="PA8" s="1520"/>
      <c r="PB8" s="1520"/>
      <c r="PC8" s="1520"/>
      <c r="PD8" s="1520"/>
      <c r="PE8" s="1520"/>
      <c r="PF8" s="1520"/>
      <c r="PG8" s="1520"/>
      <c r="PH8" s="1520"/>
      <c r="PI8" s="1520"/>
      <c r="PJ8" s="1520"/>
      <c r="PK8" s="1520"/>
      <c r="PL8" s="1520"/>
      <c r="PM8" s="1520"/>
      <c r="PN8" s="1520"/>
      <c r="PO8" s="1520"/>
      <c r="PP8" s="1520"/>
      <c r="PQ8" s="1520"/>
      <c r="PR8" s="1520"/>
      <c r="PS8" s="1520"/>
      <c r="PT8" s="1520"/>
      <c r="PU8" s="1520"/>
      <c r="PV8" s="1520"/>
      <c r="PW8" s="1520"/>
      <c r="PX8" s="1520"/>
      <c r="PY8" s="1520"/>
      <c r="PZ8" s="1520"/>
      <c r="QA8" s="1520"/>
      <c r="QB8" s="1520"/>
      <c r="QC8" s="1520"/>
      <c r="QD8" s="1520"/>
      <c r="QE8" s="1520"/>
      <c r="QF8" s="1520"/>
      <c r="QG8" s="1520"/>
      <c r="QH8" s="1520"/>
      <c r="QI8" s="1520"/>
      <c r="QJ8" s="1520"/>
      <c r="QK8" s="1520"/>
      <c r="QL8" s="1520"/>
      <c r="QM8" s="1520"/>
      <c r="QN8" s="1520"/>
      <c r="QO8" s="1520"/>
      <c r="QP8" s="1520"/>
      <c r="QQ8" s="1520"/>
      <c r="QR8" s="1520"/>
      <c r="QS8" s="1520"/>
      <c r="QT8" s="1520"/>
      <c r="QU8" s="1520"/>
      <c r="QV8" s="1520"/>
      <c r="QW8" s="1520"/>
      <c r="QX8" s="1520"/>
      <c r="QY8" s="1520"/>
      <c r="QZ8" s="1520"/>
      <c r="RA8" s="1520"/>
      <c r="RB8" s="1520"/>
      <c r="RC8" s="1520"/>
      <c r="RD8" s="1520"/>
      <c r="RE8" s="1520"/>
      <c r="RF8" s="1520"/>
      <c r="RG8" s="1520"/>
      <c r="RH8" s="1524"/>
      <c r="RI8" s="1519" t="s">
        <v>626</v>
      </c>
      <c r="RJ8" s="1524"/>
      <c r="RK8" s="1519" t="s">
        <v>460</v>
      </c>
      <c r="RL8" s="1520"/>
      <c r="RM8" s="1520"/>
      <c r="RN8" s="1520"/>
      <c r="RO8" s="1520"/>
      <c r="RP8" s="1520"/>
      <c r="RQ8" s="1520"/>
      <c r="RR8" s="1524"/>
      <c r="RS8" s="1558" t="s">
        <v>17</v>
      </c>
      <c r="RT8" s="1601" t="s">
        <v>64</v>
      </c>
      <c r="RU8" s="1601" t="s">
        <v>65</v>
      </c>
      <c r="RV8" s="1558" t="s">
        <v>18</v>
      </c>
      <c r="RW8" s="1601" t="s">
        <v>64</v>
      </c>
      <c r="RX8" s="1601" t="s">
        <v>65</v>
      </c>
      <c r="RY8" s="1519" t="s">
        <v>457</v>
      </c>
      <c r="RZ8" s="1524"/>
      <c r="SA8" s="1519" t="s">
        <v>454</v>
      </c>
      <c r="SB8" s="1524"/>
      <c r="SC8" s="1519" t="s">
        <v>451</v>
      </c>
      <c r="SD8" s="1524"/>
      <c r="SE8" s="1516" t="s">
        <v>449</v>
      </c>
      <c r="SF8" s="1612"/>
      <c r="SG8" s="1516" t="s">
        <v>446</v>
      </c>
      <c r="SH8" s="1518"/>
      <c r="SI8" s="1516" t="s">
        <v>443</v>
      </c>
      <c r="SJ8" s="1517"/>
      <c r="SK8" s="1519" t="s">
        <v>440</v>
      </c>
      <c r="SL8" s="1524"/>
      <c r="SM8" s="1519" t="s">
        <v>437</v>
      </c>
      <c r="SN8" s="1524"/>
      <c r="SO8" s="1516" t="s">
        <v>434</v>
      </c>
      <c r="SP8" s="1518"/>
      <c r="SQ8" s="1549" t="s">
        <v>431</v>
      </c>
      <c r="SR8" s="1550"/>
      <c r="SS8" s="1550"/>
      <c r="ST8" s="1550"/>
      <c r="SU8" s="1550"/>
      <c r="SV8" s="1550"/>
      <c r="SW8" s="1523" t="s">
        <v>17</v>
      </c>
      <c r="SX8" s="1558" t="s">
        <v>18</v>
      </c>
      <c r="SY8" s="1519" t="s">
        <v>428</v>
      </c>
      <c r="SZ8" s="1520"/>
      <c r="TA8" s="1520"/>
      <c r="TB8" s="1520"/>
      <c r="TC8" s="1520"/>
      <c r="TD8" s="1520"/>
      <c r="TE8" s="1520"/>
      <c r="TF8" s="1520"/>
      <c r="TG8" s="1520"/>
      <c r="TH8" s="1520"/>
      <c r="TI8" s="1520"/>
      <c r="TJ8" s="1520"/>
      <c r="TK8" s="1520"/>
      <c r="TL8" s="1520"/>
      <c r="TM8" s="1520"/>
      <c r="TN8" s="1520"/>
      <c r="TO8" s="1520"/>
      <c r="TP8" s="1524"/>
      <c r="TQ8" s="1519" t="s">
        <v>798</v>
      </c>
      <c r="TR8" s="1520"/>
      <c r="TS8" s="1520"/>
      <c r="TT8" s="1520"/>
      <c r="TU8" s="1520"/>
      <c r="TV8" s="1520"/>
      <c r="TW8" s="1520"/>
      <c r="TX8" s="1520"/>
      <c r="TY8" s="1520"/>
      <c r="TZ8" s="1520"/>
      <c r="UA8" s="1520"/>
      <c r="UB8" s="1524"/>
      <c r="UC8" s="1519" t="s">
        <v>803</v>
      </c>
      <c r="UD8" s="1520"/>
      <c r="UE8" s="1520"/>
      <c r="UF8" s="1520"/>
      <c r="UG8" s="1520"/>
      <c r="UH8" s="1520"/>
      <c r="UI8" s="1520"/>
      <c r="UJ8" s="1520"/>
      <c r="UK8" s="1520"/>
      <c r="UL8" s="1520"/>
      <c r="UM8" s="1520"/>
      <c r="UN8" s="1520"/>
      <c r="UO8" s="1520"/>
      <c r="UP8" s="1520"/>
      <c r="UQ8" s="1520"/>
      <c r="UR8" s="1520"/>
      <c r="US8" s="1519" t="s">
        <v>533</v>
      </c>
      <c r="UT8" s="1520"/>
      <c r="UU8" s="1520"/>
      <c r="UV8" s="1520"/>
      <c r="UW8" s="1520"/>
      <c r="UX8" s="1524"/>
      <c r="UY8" s="1513" t="s">
        <v>426</v>
      </c>
      <c r="UZ8" s="1514"/>
      <c r="VA8" s="1514"/>
      <c r="VB8" s="1514"/>
      <c r="VC8" s="1514"/>
      <c r="VD8" s="1514"/>
      <c r="VE8" s="1514"/>
      <c r="VF8" s="1514"/>
      <c r="VG8" s="1514"/>
      <c r="VH8" s="1514"/>
      <c r="VI8" s="1514"/>
      <c r="VJ8" s="1514"/>
      <c r="VK8" s="1514"/>
      <c r="VL8" s="1514"/>
      <c r="VM8" s="1514"/>
      <c r="VN8" s="1514"/>
      <c r="VO8" s="1521"/>
      <c r="VP8" s="1521"/>
      <c r="VQ8" s="1595"/>
      <c r="VR8" s="1608"/>
      <c r="VS8" s="1608"/>
      <c r="VT8" s="1608"/>
      <c r="VU8" s="1608"/>
      <c r="VV8" s="1608"/>
      <c r="VW8" s="1608"/>
      <c r="VX8" s="1596"/>
      <c r="VY8" s="1595"/>
      <c r="VZ8" s="1608"/>
      <c r="WA8" s="1608"/>
      <c r="WB8" s="1608"/>
      <c r="WC8" s="1608"/>
      <c r="WD8" s="1608"/>
      <c r="WE8" s="1608"/>
      <c r="WF8" s="1596"/>
      <c r="WI8" s="1122"/>
    </row>
    <row r="9" spans="1:607" ht="204.6" customHeight="1" thickBot="1" x14ac:dyDescent="0.3">
      <c r="A9" s="1521"/>
      <c r="B9" s="1513" t="s">
        <v>70</v>
      </c>
      <c r="C9" s="1515"/>
      <c r="D9" s="1521"/>
      <c r="E9" s="1521"/>
      <c r="F9" s="1565" t="s">
        <v>522</v>
      </c>
      <c r="G9" s="1574"/>
      <c r="H9" s="1565" t="s">
        <v>10</v>
      </c>
      <c r="I9" s="1566"/>
      <c r="J9" s="1551" t="s">
        <v>131</v>
      </c>
      <c r="K9" s="1552"/>
      <c r="L9" s="1552"/>
      <c r="M9" s="1553"/>
      <c r="N9" s="1540" t="s">
        <v>732</v>
      </c>
      <c r="O9" s="1548"/>
      <c r="P9" s="1544" t="s">
        <v>133</v>
      </c>
      <c r="Q9" s="1545"/>
      <c r="R9" s="1555" t="s">
        <v>131</v>
      </c>
      <c r="S9" s="1556"/>
      <c r="T9" s="1556"/>
      <c r="U9" s="1557"/>
      <c r="V9" s="1561" t="s">
        <v>517</v>
      </c>
      <c r="W9" s="1562"/>
      <c r="X9" s="1562"/>
      <c r="Y9" s="1562"/>
      <c r="Z9" s="1563"/>
      <c r="AA9" s="1561" t="s">
        <v>268</v>
      </c>
      <c r="AB9" s="1562"/>
      <c r="AC9" s="1562"/>
      <c r="AD9" s="1563"/>
      <c r="AE9" s="1555" t="s">
        <v>131</v>
      </c>
      <c r="AF9" s="1556"/>
      <c r="AG9" s="1556"/>
      <c r="AH9" s="1557"/>
      <c r="AI9" s="1521"/>
      <c r="AJ9" s="1521"/>
      <c r="AK9" s="1519" t="s">
        <v>756</v>
      </c>
      <c r="AL9" s="1520"/>
      <c r="AM9" s="1520"/>
      <c r="AN9" s="1520"/>
      <c r="AO9" s="1520"/>
      <c r="AP9" s="1520"/>
      <c r="AQ9" s="1520"/>
      <c r="AR9" s="1520"/>
      <c r="AS9" s="1520"/>
      <c r="AT9" s="1520"/>
      <c r="AU9" s="1520"/>
      <c r="AV9" s="1520"/>
      <c r="AW9" s="1513" t="s">
        <v>329</v>
      </c>
      <c r="AX9" s="1514"/>
      <c r="AY9" s="1514"/>
      <c r="AZ9" s="1514"/>
      <c r="BA9" s="1514"/>
      <c r="BB9" s="1514"/>
      <c r="BC9" s="1514"/>
      <c r="BD9" s="1514"/>
      <c r="BE9" s="1514"/>
      <c r="BF9" s="1514"/>
      <c r="BG9" s="1514"/>
      <c r="BH9" s="1515"/>
      <c r="BI9" s="1525" t="s">
        <v>131</v>
      </c>
      <c r="BJ9" s="1526"/>
      <c r="BK9" s="1526"/>
      <c r="BL9" s="1526"/>
      <c r="BM9" s="1526"/>
      <c r="BN9" s="1526"/>
      <c r="BO9" s="1526"/>
      <c r="BP9" s="1526"/>
      <c r="BQ9" s="1526"/>
      <c r="BR9" s="1526"/>
      <c r="BS9" s="1526"/>
      <c r="BT9" s="1526"/>
      <c r="BU9" s="1526"/>
      <c r="BV9" s="1526"/>
      <c r="BW9" s="1526"/>
      <c r="BX9" s="1526"/>
      <c r="BY9" s="1526"/>
      <c r="BZ9" s="1526"/>
      <c r="CA9" s="1526"/>
      <c r="CB9" s="1526"/>
      <c r="CC9" s="1526"/>
      <c r="CD9" s="1526"/>
      <c r="CE9" s="1526"/>
      <c r="CF9" s="1527"/>
      <c r="CG9" s="1519" t="s">
        <v>512</v>
      </c>
      <c r="CH9" s="1520"/>
      <c r="CI9" s="1520"/>
      <c r="CJ9" s="1520"/>
      <c r="CK9" s="1520"/>
      <c r="CL9" s="1520"/>
      <c r="CM9" s="1520"/>
      <c r="CN9" s="1520"/>
      <c r="CO9" s="1520"/>
      <c r="CP9" s="1524"/>
      <c r="CQ9" s="1513" t="s">
        <v>167</v>
      </c>
      <c r="CR9" s="1514"/>
      <c r="CS9" s="1514"/>
      <c r="CT9" s="1514"/>
      <c r="CU9" s="1514"/>
      <c r="CV9" s="1514"/>
      <c r="CW9" s="1514"/>
      <c r="CX9" s="1514"/>
      <c r="CY9" s="1514"/>
      <c r="CZ9" s="1515"/>
      <c r="DA9" s="1510" t="s">
        <v>131</v>
      </c>
      <c r="DB9" s="1511"/>
      <c r="DC9" s="1511"/>
      <c r="DD9" s="1511"/>
      <c r="DE9" s="1513" t="s">
        <v>317</v>
      </c>
      <c r="DF9" s="1515"/>
      <c r="DG9" s="1513" t="s">
        <v>313</v>
      </c>
      <c r="DH9" s="1515"/>
      <c r="DI9" s="1510" t="s">
        <v>131</v>
      </c>
      <c r="DJ9" s="1511"/>
      <c r="DK9" s="1511"/>
      <c r="DL9" s="1511"/>
      <c r="DM9" s="1519" t="s">
        <v>507</v>
      </c>
      <c r="DN9" s="1520"/>
      <c r="DO9" s="1513" t="s">
        <v>318</v>
      </c>
      <c r="DP9" s="1515"/>
      <c r="DQ9" s="1510" t="s">
        <v>131</v>
      </c>
      <c r="DR9" s="1511"/>
      <c r="DS9" s="1511"/>
      <c r="DT9" s="1511"/>
      <c r="DU9" s="1519" t="s">
        <v>504</v>
      </c>
      <c r="DV9" s="1520"/>
      <c r="DW9" s="1520"/>
      <c r="DX9" s="1520"/>
      <c r="DY9" s="1520"/>
      <c r="DZ9" s="1520"/>
      <c r="EA9" s="1520"/>
      <c r="EB9" s="1520"/>
      <c r="EC9" s="1520"/>
      <c r="ED9" s="1520"/>
      <c r="EE9" s="1520"/>
      <c r="EF9" s="1520"/>
      <c r="EG9" s="1520"/>
      <c r="EH9" s="1520"/>
      <c r="EI9" s="1520"/>
      <c r="EJ9" s="1524"/>
      <c r="EK9" s="1513" t="s">
        <v>703</v>
      </c>
      <c r="EL9" s="1514"/>
      <c r="EM9" s="1514"/>
      <c r="EN9" s="1515"/>
      <c r="EO9" s="1525" t="s">
        <v>131</v>
      </c>
      <c r="EP9" s="1526"/>
      <c r="EQ9" s="1526"/>
      <c r="ER9" s="1526"/>
      <c r="ES9" s="1519" t="s">
        <v>501</v>
      </c>
      <c r="ET9" s="1520"/>
      <c r="EU9" s="1520"/>
      <c r="EV9" s="1520"/>
      <c r="EW9" s="1520"/>
      <c r="EX9" s="1524"/>
      <c r="EY9" s="1519" t="s">
        <v>856</v>
      </c>
      <c r="EZ9" s="1520"/>
      <c r="FA9" s="1520"/>
      <c r="FB9" s="1520"/>
      <c r="FC9" s="1520"/>
      <c r="FD9" s="1524"/>
      <c r="FE9" s="1577" t="s">
        <v>614</v>
      </c>
      <c r="FF9" s="1578"/>
      <c r="FG9" s="1578"/>
      <c r="FH9" s="1578"/>
      <c r="FI9" s="1578"/>
      <c r="FJ9" s="1578"/>
      <c r="FK9" s="1578"/>
      <c r="FL9" s="1578"/>
      <c r="FM9" s="1578"/>
      <c r="FN9" s="1579"/>
      <c r="FO9" s="1519" t="s">
        <v>593</v>
      </c>
      <c r="FP9" s="1520"/>
      <c r="FQ9" s="1520"/>
      <c r="FR9" s="1520"/>
      <c r="FS9" s="1520"/>
      <c r="FT9" s="1524"/>
      <c r="FU9" s="1519" t="s">
        <v>498</v>
      </c>
      <c r="FV9" s="1520"/>
      <c r="FW9" s="1520"/>
      <c r="FX9" s="1520"/>
      <c r="FY9" s="1520"/>
      <c r="FZ9" s="1524"/>
      <c r="GA9" s="1513" t="s">
        <v>493</v>
      </c>
      <c r="GB9" s="1514"/>
      <c r="GC9" s="1514"/>
      <c r="GD9" s="1514"/>
      <c r="GE9" s="1514"/>
      <c r="GF9" s="1515"/>
      <c r="GG9" s="1513" t="s">
        <v>356</v>
      </c>
      <c r="GH9" s="1514"/>
      <c r="GI9" s="1514"/>
      <c r="GJ9" s="1514"/>
      <c r="GK9" s="1514"/>
      <c r="GL9" s="1515"/>
      <c r="GM9" s="1555" t="s">
        <v>131</v>
      </c>
      <c r="GN9" s="1556"/>
      <c r="GO9" s="1556"/>
      <c r="GP9" s="1556"/>
      <c r="GQ9" s="1556"/>
      <c r="GR9" s="1556"/>
      <c r="GS9" s="1556"/>
      <c r="GT9" s="1556"/>
      <c r="GU9" s="1556"/>
      <c r="GV9" s="1556"/>
      <c r="GW9" s="1556"/>
      <c r="GX9" s="1557"/>
      <c r="GY9" s="1528" t="s">
        <v>820</v>
      </c>
      <c r="GZ9" s="1529"/>
      <c r="HA9" s="1529"/>
      <c r="HB9" s="1529"/>
      <c r="HC9" s="1529"/>
      <c r="HD9" s="1530"/>
      <c r="HE9" s="1523" t="s">
        <v>488</v>
      </c>
      <c r="HF9" s="1536"/>
      <c r="HG9" s="1536"/>
      <c r="HH9" s="1536"/>
      <c r="HI9" s="1536"/>
      <c r="HJ9" s="1536"/>
      <c r="HK9" s="1536"/>
      <c r="HL9" s="1536"/>
      <c r="HM9" s="1536"/>
      <c r="HN9" s="1536"/>
      <c r="HO9" s="1536"/>
      <c r="HP9" s="1536"/>
      <c r="HQ9" s="1536"/>
      <c r="HR9" s="1536"/>
      <c r="HS9" s="1536"/>
      <c r="HT9" s="1536"/>
      <c r="HU9" s="1536"/>
      <c r="HV9" s="1536"/>
      <c r="HW9" s="1523" t="s">
        <v>275</v>
      </c>
      <c r="HX9" s="1536"/>
      <c r="HY9" s="1536"/>
      <c r="HZ9" s="1536"/>
      <c r="IA9" s="1536"/>
      <c r="IB9" s="1536"/>
      <c r="IC9" s="1536"/>
      <c r="ID9" s="1536"/>
      <c r="IE9" s="1536"/>
      <c r="IF9" s="1536"/>
      <c r="IG9" s="1536"/>
      <c r="IH9" s="1536"/>
      <c r="II9" s="1536"/>
      <c r="IJ9" s="1536"/>
      <c r="IK9" s="1536"/>
      <c r="IL9" s="1536"/>
      <c r="IM9" s="1536"/>
      <c r="IN9" s="1536"/>
      <c r="IO9" s="1555" t="s">
        <v>131</v>
      </c>
      <c r="IP9" s="1556"/>
      <c r="IQ9" s="1556"/>
      <c r="IR9" s="1556"/>
      <c r="IS9" s="1556"/>
      <c r="IT9" s="1556"/>
      <c r="IU9" s="1556"/>
      <c r="IV9" s="1556"/>
      <c r="IW9" s="1556"/>
      <c r="IX9" s="1556"/>
      <c r="IY9" s="1556"/>
      <c r="IZ9" s="1556"/>
      <c r="JA9" s="1556"/>
      <c r="JB9" s="1556"/>
      <c r="JC9" s="1556"/>
      <c r="JD9" s="1556"/>
      <c r="JE9" s="1556"/>
      <c r="JF9" s="1556"/>
      <c r="JG9" s="1556"/>
      <c r="JH9" s="1556"/>
      <c r="JI9" s="1556"/>
      <c r="JJ9" s="1556"/>
      <c r="JK9" s="1556"/>
      <c r="JL9" s="1556"/>
      <c r="JM9" s="1556"/>
      <c r="JN9" s="1556"/>
      <c r="JO9" s="1556"/>
      <c r="JP9" s="1556"/>
      <c r="JQ9" s="1556"/>
      <c r="JR9" s="1556"/>
      <c r="JS9" s="1556"/>
      <c r="JT9" s="1556"/>
      <c r="JU9" s="1556"/>
      <c r="JV9" s="1556"/>
      <c r="JW9" s="1556"/>
      <c r="JX9" s="1556"/>
      <c r="JY9" s="1519" t="s">
        <v>474</v>
      </c>
      <c r="JZ9" s="1520"/>
      <c r="KA9" s="1520"/>
      <c r="KB9" s="1520"/>
      <c r="KC9" s="1520"/>
      <c r="KD9" s="1520"/>
      <c r="KE9" s="1520"/>
      <c r="KF9" s="1520"/>
      <c r="KG9" s="1520"/>
      <c r="KH9" s="1524"/>
      <c r="KI9" s="1519" t="s">
        <v>476</v>
      </c>
      <c r="KJ9" s="1520"/>
      <c r="KK9" s="1520"/>
      <c r="KL9" s="1520"/>
      <c r="KM9" s="1520"/>
      <c r="KN9" s="1520"/>
      <c r="KO9" s="1520"/>
      <c r="KP9" s="1520"/>
      <c r="KQ9" s="1520"/>
      <c r="KR9" s="1520"/>
      <c r="KS9" s="1520"/>
      <c r="KT9" s="1520"/>
      <c r="KU9" s="1513" t="s">
        <v>421</v>
      </c>
      <c r="KV9" s="1514"/>
      <c r="KW9" s="1514"/>
      <c r="KX9" s="1514"/>
      <c r="KY9" s="1514"/>
      <c r="KZ9" s="1514"/>
      <c r="LA9" s="1514"/>
      <c r="LB9" s="1515"/>
      <c r="LC9" s="1525" t="s">
        <v>131</v>
      </c>
      <c r="LD9" s="1526"/>
      <c r="LE9" s="1526"/>
      <c r="LF9" s="1527"/>
      <c r="LG9" s="1513" t="s">
        <v>482</v>
      </c>
      <c r="LH9" s="1514"/>
      <c r="LI9" s="1514"/>
      <c r="LJ9" s="1514"/>
      <c r="LK9" s="1514"/>
      <c r="LL9" s="1514"/>
      <c r="LM9" s="1514"/>
      <c r="LN9" s="1514"/>
      <c r="LO9" s="1514"/>
      <c r="LP9" s="1514"/>
      <c r="LQ9" s="1514"/>
      <c r="LR9" s="1514"/>
      <c r="LS9" s="1514"/>
      <c r="LT9" s="1514"/>
      <c r="LU9" s="1513" t="s">
        <v>278</v>
      </c>
      <c r="LV9" s="1514"/>
      <c r="LW9" s="1514"/>
      <c r="LX9" s="1514"/>
      <c r="LY9" s="1514"/>
      <c r="LZ9" s="1514"/>
      <c r="MA9" s="1514"/>
      <c r="MB9" s="1514"/>
      <c r="MC9" s="1514"/>
      <c r="MD9" s="1514"/>
      <c r="ME9" s="1555" t="s">
        <v>131</v>
      </c>
      <c r="MF9" s="1556"/>
      <c r="MG9" s="1556"/>
      <c r="MH9" s="1556"/>
      <c r="MI9" s="1556"/>
      <c r="MJ9" s="1556"/>
      <c r="MK9" s="1556"/>
      <c r="ML9" s="1556"/>
      <c r="MM9" s="1556"/>
      <c r="MN9" s="1556"/>
      <c r="MO9" s="1556"/>
      <c r="MP9" s="1556"/>
      <c r="MQ9" s="1556"/>
      <c r="MR9" s="1556"/>
      <c r="MS9" s="1556"/>
      <c r="MT9" s="1556"/>
      <c r="MU9" s="1556"/>
      <c r="MV9" s="1556"/>
      <c r="MW9" s="1556"/>
      <c r="MX9" s="1557"/>
      <c r="MY9" s="1519" t="s">
        <v>468</v>
      </c>
      <c r="MZ9" s="1520"/>
      <c r="NA9" s="1520"/>
      <c r="NB9" s="1524"/>
      <c r="NC9" s="1513" t="s">
        <v>382</v>
      </c>
      <c r="ND9" s="1514"/>
      <c r="NE9" s="1514"/>
      <c r="NF9" s="1514"/>
      <c r="NG9" s="1514"/>
      <c r="NH9" s="1515"/>
      <c r="NI9" s="1510" t="s">
        <v>131</v>
      </c>
      <c r="NJ9" s="1511"/>
      <c r="NK9" s="1511"/>
      <c r="NL9" s="1511"/>
      <c r="NM9" s="1511"/>
      <c r="NN9" s="1511"/>
      <c r="NO9" s="1511"/>
      <c r="NP9" s="1511"/>
      <c r="NQ9" s="1511"/>
      <c r="NR9" s="1511"/>
      <c r="NS9" s="1511"/>
      <c r="NT9" s="1512"/>
      <c r="NU9" s="1519" t="s">
        <v>708</v>
      </c>
      <c r="NV9" s="1520"/>
      <c r="NW9" s="1520"/>
      <c r="NX9" s="1520"/>
      <c r="NY9" s="1520"/>
      <c r="NZ9" s="1520"/>
      <c r="OA9" s="1513" t="s">
        <v>329</v>
      </c>
      <c r="OB9" s="1514"/>
      <c r="OC9" s="1514"/>
      <c r="OD9" s="1514"/>
      <c r="OE9" s="1514"/>
      <c r="OF9" s="1515"/>
      <c r="OG9" s="1510" t="s">
        <v>131</v>
      </c>
      <c r="OH9" s="1511"/>
      <c r="OI9" s="1511"/>
      <c r="OJ9" s="1511"/>
      <c r="OK9" s="1511"/>
      <c r="OL9" s="1511"/>
      <c r="OM9" s="1511"/>
      <c r="ON9" s="1511"/>
      <c r="OO9" s="1511"/>
      <c r="OP9" s="1511"/>
      <c r="OQ9" s="620"/>
      <c r="OR9" s="620"/>
      <c r="OS9" s="1519" t="s">
        <v>697</v>
      </c>
      <c r="OT9" s="1520"/>
      <c r="OU9" s="1520"/>
      <c r="OV9" s="1520"/>
      <c r="OW9" s="1520"/>
      <c r="OX9" s="1520"/>
      <c r="OY9" s="1520"/>
      <c r="OZ9" s="1520"/>
      <c r="PA9" s="1520"/>
      <c r="PB9" s="1520"/>
      <c r="PC9" s="1520"/>
      <c r="PD9" s="1520"/>
      <c r="PE9" s="1520"/>
      <c r="PF9" s="1524"/>
      <c r="PG9" s="1513" t="s">
        <v>698</v>
      </c>
      <c r="PH9" s="1514"/>
      <c r="PI9" s="1514"/>
      <c r="PJ9" s="1514"/>
      <c r="PK9" s="1514"/>
      <c r="PL9" s="1514"/>
      <c r="PM9" s="1514"/>
      <c r="PN9" s="1514"/>
      <c r="PO9" s="1514"/>
      <c r="PP9" s="1514"/>
      <c r="PQ9" s="1514"/>
      <c r="PR9" s="1514"/>
      <c r="PS9" s="1514"/>
      <c r="PT9" s="1514"/>
      <c r="PU9" s="1514"/>
      <c r="PV9" s="1514"/>
      <c r="PW9" s="1514"/>
      <c r="PX9" s="1515"/>
      <c r="PY9" s="1582" t="s">
        <v>131</v>
      </c>
      <c r="PZ9" s="1583"/>
      <c r="QA9" s="1583"/>
      <c r="QB9" s="1583"/>
      <c r="QC9" s="1583"/>
      <c r="QD9" s="1583"/>
      <c r="QE9" s="1583"/>
      <c r="QF9" s="1583"/>
      <c r="QG9" s="1583"/>
      <c r="QH9" s="1583"/>
      <c r="QI9" s="1583"/>
      <c r="QJ9" s="1583"/>
      <c r="QK9" s="1583"/>
      <c r="QL9" s="1583"/>
      <c r="QM9" s="1583"/>
      <c r="QN9" s="1583"/>
      <c r="QO9" s="1583"/>
      <c r="QP9" s="1583"/>
      <c r="QQ9" s="1583"/>
      <c r="QR9" s="1583"/>
      <c r="QS9" s="1583"/>
      <c r="QT9" s="1583"/>
      <c r="QU9" s="1583"/>
      <c r="QV9" s="1583"/>
      <c r="QW9" s="1583"/>
      <c r="QX9" s="1583"/>
      <c r="QY9" s="1583"/>
      <c r="QZ9" s="1583"/>
      <c r="RA9" s="1583"/>
      <c r="RB9" s="1583"/>
      <c r="RC9" s="1583"/>
      <c r="RD9" s="1583"/>
      <c r="RE9" s="1583"/>
      <c r="RF9" s="1583"/>
      <c r="RG9" s="1583"/>
      <c r="RH9" s="1584"/>
      <c r="RI9" s="1519" t="s">
        <v>627</v>
      </c>
      <c r="RJ9" s="1524"/>
      <c r="RK9" s="1519" t="s">
        <v>463</v>
      </c>
      <c r="RL9" s="1524"/>
      <c r="RM9" s="1513" t="s">
        <v>25</v>
      </c>
      <c r="RN9" s="1515"/>
      <c r="RO9" s="1555" t="s">
        <v>131</v>
      </c>
      <c r="RP9" s="1556"/>
      <c r="RQ9" s="1556"/>
      <c r="RR9" s="1557"/>
      <c r="RS9" s="1521"/>
      <c r="RT9" s="1602"/>
      <c r="RU9" s="1602"/>
      <c r="RV9" s="1521"/>
      <c r="RW9" s="1602"/>
      <c r="RX9" s="1602"/>
      <c r="RY9" s="1519" t="s">
        <v>458</v>
      </c>
      <c r="RZ9" s="1524"/>
      <c r="SA9" s="1519" t="s">
        <v>455</v>
      </c>
      <c r="SB9" s="1524"/>
      <c r="SC9" s="1519" t="s">
        <v>452</v>
      </c>
      <c r="SD9" s="1524"/>
      <c r="SE9" s="1513" t="s">
        <v>450</v>
      </c>
      <c r="SF9" s="1515"/>
      <c r="SG9" s="1519" t="s">
        <v>447</v>
      </c>
      <c r="SH9" s="1524"/>
      <c r="SI9" s="1519" t="s">
        <v>444</v>
      </c>
      <c r="SJ9" s="1524"/>
      <c r="SK9" s="1519" t="s">
        <v>441</v>
      </c>
      <c r="SL9" s="1524"/>
      <c r="SM9" s="1519" t="s">
        <v>438</v>
      </c>
      <c r="SN9" s="1524"/>
      <c r="SO9" s="1519" t="s">
        <v>435</v>
      </c>
      <c r="SP9" s="1524"/>
      <c r="SQ9" s="1549" t="s">
        <v>432</v>
      </c>
      <c r="SR9" s="1550"/>
      <c r="SS9" s="1550"/>
      <c r="ST9" s="1550"/>
      <c r="SU9" s="1550"/>
      <c r="SV9" s="1550"/>
      <c r="SW9" s="1523"/>
      <c r="SX9" s="1521"/>
      <c r="SY9" s="1519" t="s">
        <v>429</v>
      </c>
      <c r="SZ9" s="1520"/>
      <c r="TA9" s="1520"/>
      <c r="TB9" s="1520"/>
      <c r="TC9" s="1520"/>
      <c r="TD9" s="1520"/>
      <c r="TE9" s="1520"/>
      <c r="TF9" s="1520"/>
      <c r="TG9" s="1520"/>
      <c r="TH9" s="1520"/>
      <c r="TI9" s="1520"/>
      <c r="TJ9" s="1520"/>
      <c r="TK9" s="1520"/>
      <c r="TL9" s="1520"/>
      <c r="TM9" s="1520"/>
      <c r="TN9" s="1520"/>
      <c r="TO9" s="1520"/>
      <c r="TP9" s="1524"/>
      <c r="TQ9" s="1519" t="s">
        <v>799</v>
      </c>
      <c r="TR9" s="1520"/>
      <c r="TS9" s="1520"/>
      <c r="TT9" s="1524"/>
      <c r="TU9" s="1513" t="s">
        <v>328</v>
      </c>
      <c r="TV9" s="1514"/>
      <c r="TW9" s="1514"/>
      <c r="TX9" s="1515"/>
      <c r="TY9" s="1586" t="s">
        <v>131</v>
      </c>
      <c r="TZ9" s="1587"/>
      <c r="UA9" s="1587"/>
      <c r="UB9" s="1587"/>
      <c r="UC9" s="1513" t="s">
        <v>804</v>
      </c>
      <c r="UD9" s="1514"/>
      <c r="UE9" s="1514"/>
      <c r="UF9" s="1514"/>
      <c r="UG9" s="1514"/>
      <c r="UH9" s="1515"/>
      <c r="UI9" s="1593" t="s">
        <v>806</v>
      </c>
      <c r="UJ9" s="1607"/>
      <c r="UK9" s="1607"/>
      <c r="UL9" s="1607"/>
      <c r="UM9" s="1607"/>
      <c r="UN9" s="1594"/>
      <c r="UO9" s="1586" t="s">
        <v>131</v>
      </c>
      <c r="UP9" s="1587"/>
      <c r="UQ9" s="1587"/>
      <c r="UR9" s="1587"/>
      <c r="US9" s="1519" t="s">
        <v>534</v>
      </c>
      <c r="UT9" s="1520"/>
      <c r="UU9" s="1520"/>
      <c r="UV9" s="1520"/>
      <c r="UW9" s="1520"/>
      <c r="UX9" s="1524"/>
      <c r="UY9" s="1513" t="s">
        <v>424</v>
      </c>
      <c r="UZ9" s="1514"/>
      <c r="VA9" s="1514"/>
      <c r="VB9" s="1515"/>
      <c r="VC9" s="1513" t="s">
        <v>82</v>
      </c>
      <c r="VD9" s="1514"/>
      <c r="VE9" s="1514"/>
      <c r="VF9" s="1514"/>
      <c r="VG9" s="1510" t="s">
        <v>131</v>
      </c>
      <c r="VH9" s="1511"/>
      <c r="VI9" s="1511"/>
      <c r="VJ9" s="1511"/>
      <c r="VK9" s="1511"/>
      <c r="VL9" s="1511"/>
      <c r="VM9" s="1511"/>
      <c r="VN9" s="1511"/>
      <c r="VO9" s="1521"/>
      <c r="VP9" s="1521"/>
      <c r="VQ9" s="1599" t="s">
        <v>71</v>
      </c>
      <c r="VR9" s="1600"/>
      <c r="VS9" s="1593" t="s">
        <v>130</v>
      </c>
      <c r="VT9" s="1594"/>
      <c r="VU9" s="1586" t="s">
        <v>131</v>
      </c>
      <c r="VV9" s="1587"/>
      <c r="VW9" s="1587"/>
      <c r="VX9" s="1588"/>
      <c r="VY9" s="1597" t="s">
        <v>78</v>
      </c>
      <c r="VZ9" s="1598"/>
      <c r="WA9" s="1593" t="s">
        <v>132</v>
      </c>
      <c r="WB9" s="1594"/>
      <c r="WC9" s="1586" t="s">
        <v>131</v>
      </c>
      <c r="WD9" s="1587"/>
      <c r="WE9" s="1587"/>
      <c r="WF9" s="1588"/>
      <c r="WI9" s="1122"/>
    </row>
    <row r="10" spans="1:607" ht="212.1" customHeight="1" thickBot="1" x14ac:dyDescent="0.3">
      <c r="A10" s="1521"/>
      <c r="B10" s="1516"/>
      <c r="C10" s="1518"/>
      <c r="D10" s="1521"/>
      <c r="E10" s="1521"/>
      <c r="F10" s="1549" t="s">
        <v>523</v>
      </c>
      <c r="G10" s="1550"/>
      <c r="H10" s="1567"/>
      <c r="I10" s="1568"/>
      <c r="J10" s="1569" t="s">
        <v>524</v>
      </c>
      <c r="K10" s="1570"/>
      <c r="L10" s="1569" t="s">
        <v>525</v>
      </c>
      <c r="M10" s="1570"/>
      <c r="N10" s="1540" t="s">
        <v>733</v>
      </c>
      <c r="O10" s="1548"/>
      <c r="P10" s="1546"/>
      <c r="Q10" s="1547"/>
      <c r="R10" s="1542" t="s">
        <v>735</v>
      </c>
      <c r="S10" s="1543"/>
      <c r="T10" s="1542" t="s">
        <v>736</v>
      </c>
      <c r="U10" s="1543"/>
      <c r="V10" s="1528" t="s">
        <v>518</v>
      </c>
      <c r="W10" s="1529"/>
      <c r="X10" s="1529"/>
      <c r="Y10" s="1529"/>
      <c r="Z10" s="1530"/>
      <c r="AA10" s="1571"/>
      <c r="AB10" s="1572"/>
      <c r="AC10" s="1572"/>
      <c r="AD10" s="1573"/>
      <c r="AE10" s="1542" t="s">
        <v>519</v>
      </c>
      <c r="AF10" s="1543"/>
      <c r="AG10" s="1542" t="s">
        <v>520</v>
      </c>
      <c r="AH10" s="1543"/>
      <c r="AI10" s="1521"/>
      <c r="AJ10" s="1523"/>
      <c r="AK10" s="1519" t="s">
        <v>757</v>
      </c>
      <c r="AL10" s="1520"/>
      <c r="AM10" s="1520"/>
      <c r="AN10" s="1520"/>
      <c r="AO10" s="1520"/>
      <c r="AP10" s="1520"/>
      <c r="AQ10" s="1520"/>
      <c r="AR10" s="1520"/>
      <c r="AS10" s="1520"/>
      <c r="AT10" s="1520"/>
      <c r="AU10" s="1520"/>
      <c r="AV10" s="1520"/>
      <c r="AW10" s="1516"/>
      <c r="AX10" s="1517"/>
      <c r="AY10" s="1517"/>
      <c r="AZ10" s="1517"/>
      <c r="BA10" s="1517"/>
      <c r="BB10" s="1517"/>
      <c r="BC10" s="1517"/>
      <c r="BD10" s="1517"/>
      <c r="BE10" s="1517"/>
      <c r="BF10" s="1517"/>
      <c r="BG10" s="1517"/>
      <c r="BH10" s="1518"/>
      <c r="BI10" s="1525" t="s">
        <v>758</v>
      </c>
      <c r="BJ10" s="1526"/>
      <c r="BK10" s="1526"/>
      <c r="BL10" s="1526"/>
      <c r="BM10" s="1526"/>
      <c r="BN10" s="1526"/>
      <c r="BO10" s="1526"/>
      <c r="BP10" s="1526"/>
      <c r="BQ10" s="1526"/>
      <c r="BR10" s="1526"/>
      <c r="BS10" s="1526"/>
      <c r="BT10" s="1527"/>
      <c r="BU10" s="1525" t="s">
        <v>759</v>
      </c>
      <c r="BV10" s="1526"/>
      <c r="BW10" s="1526"/>
      <c r="BX10" s="1526"/>
      <c r="BY10" s="1526"/>
      <c r="BZ10" s="1526"/>
      <c r="CA10" s="1526"/>
      <c r="CB10" s="1526"/>
      <c r="CC10" s="1526"/>
      <c r="CD10" s="1526"/>
      <c r="CE10" s="1526"/>
      <c r="CF10" s="1527"/>
      <c r="CG10" s="1519" t="s">
        <v>513</v>
      </c>
      <c r="CH10" s="1520"/>
      <c r="CI10" s="1520"/>
      <c r="CJ10" s="1520"/>
      <c r="CK10" s="1520"/>
      <c r="CL10" s="1520"/>
      <c r="CM10" s="1520"/>
      <c r="CN10" s="1520"/>
      <c r="CO10" s="1520"/>
      <c r="CP10" s="1524"/>
      <c r="CQ10" s="1516"/>
      <c r="CR10" s="1517"/>
      <c r="CS10" s="1517"/>
      <c r="CT10" s="1517"/>
      <c r="CU10" s="1517"/>
      <c r="CV10" s="1517"/>
      <c r="CW10" s="1517"/>
      <c r="CX10" s="1517"/>
      <c r="CY10" s="1517"/>
      <c r="CZ10" s="1518"/>
      <c r="DA10" s="1510" t="s">
        <v>514</v>
      </c>
      <c r="DB10" s="1511"/>
      <c r="DC10" s="1510" t="s">
        <v>515</v>
      </c>
      <c r="DD10" s="1511"/>
      <c r="DE10" s="1513" t="s">
        <v>316</v>
      </c>
      <c r="DF10" s="1515"/>
      <c r="DG10" s="1516"/>
      <c r="DH10" s="1518"/>
      <c r="DI10" s="1510" t="s">
        <v>314</v>
      </c>
      <c r="DJ10" s="1534"/>
      <c r="DK10" s="1510" t="s">
        <v>315</v>
      </c>
      <c r="DL10" s="1534"/>
      <c r="DM10" s="1519" t="s">
        <v>508</v>
      </c>
      <c r="DN10" s="1524"/>
      <c r="DO10" s="1516"/>
      <c r="DP10" s="1518"/>
      <c r="DQ10" s="1510" t="s">
        <v>509</v>
      </c>
      <c r="DR10" s="1511"/>
      <c r="DS10" s="1510" t="s">
        <v>510</v>
      </c>
      <c r="DT10" s="1511"/>
      <c r="DU10" s="1519" t="s">
        <v>505</v>
      </c>
      <c r="DV10" s="1520"/>
      <c r="DW10" s="1520"/>
      <c r="DX10" s="1520"/>
      <c r="DY10" s="1520"/>
      <c r="DZ10" s="1520"/>
      <c r="EA10" s="1520"/>
      <c r="EB10" s="1520"/>
      <c r="EC10" s="1520"/>
      <c r="ED10" s="1520"/>
      <c r="EE10" s="1520"/>
      <c r="EF10" s="1520"/>
      <c r="EG10" s="1520"/>
      <c r="EH10" s="1520"/>
      <c r="EI10" s="1520"/>
      <c r="EJ10" s="1524"/>
      <c r="EK10" s="1516"/>
      <c r="EL10" s="1517"/>
      <c r="EM10" s="1517"/>
      <c r="EN10" s="1518"/>
      <c r="EO10" s="1525" t="s">
        <v>704</v>
      </c>
      <c r="EP10" s="1527"/>
      <c r="EQ10" s="1525" t="s">
        <v>737</v>
      </c>
      <c r="ER10" s="1527"/>
      <c r="ES10" s="1519" t="s">
        <v>502</v>
      </c>
      <c r="ET10" s="1520"/>
      <c r="EU10" s="1520"/>
      <c r="EV10" s="1520"/>
      <c r="EW10" s="1520"/>
      <c r="EX10" s="1524"/>
      <c r="EY10" s="1519" t="s">
        <v>857</v>
      </c>
      <c r="EZ10" s="1520"/>
      <c r="FA10" s="1520"/>
      <c r="FB10" s="1520"/>
      <c r="FC10" s="1520"/>
      <c r="FD10" s="1524"/>
      <c r="FE10" s="1577" t="s">
        <v>615</v>
      </c>
      <c r="FF10" s="1578"/>
      <c r="FG10" s="1578"/>
      <c r="FH10" s="1578"/>
      <c r="FI10" s="1578"/>
      <c r="FJ10" s="1578"/>
      <c r="FK10" s="1578"/>
      <c r="FL10" s="1578"/>
      <c r="FM10" s="1578"/>
      <c r="FN10" s="1579"/>
      <c r="FO10" s="1519" t="s">
        <v>594</v>
      </c>
      <c r="FP10" s="1520"/>
      <c r="FQ10" s="1520"/>
      <c r="FR10" s="1520"/>
      <c r="FS10" s="1520"/>
      <c r="FT10" s="1524"/>
      <c r="FU10" s="1519" t="s">
        <v>499</v>
      </c>
      <c r="FV10" s="1520"/>
      <c r="FW10" s="1520"/>
      <c r="FX10" s="1520"/>
      <c r="FY10" s="1520"/>
      <c r="FZ10" s="1524"/>
      <c r="GA10" s="1519" t="s">
        <v>494</v>
      </c>
      <c r="GB10" s="1520"/>
      <c r="GC10" s="1520"/>
      <c r="GD10" s="1520"/>
      <c r="GE10" s="1520"/>
      <c r="GF10" s="1524"/>
      <c r="GG10" s="1516"/>
      <c r="GH10" s="1517"/>
      <c r="GI10" s="1517"/>
      <c r="GJ10" s="1517"/>
      <c r="GK10" s="1517"/>
      <c r="GL10" s="1518"/>
      <c r="GM10" s="1510" t="s">
        <v>495</v>
      </c>
      <c r="GN10" s="1511"/>
      <c r="GO10" s="1511"/>
      <c r="GP10" s="1511"/>
      <c r="GQ10" s="1511"/>
      <c r="GR10" s="1512"/>
      <c r="GS10" s="1510" t="s">
        <v>496</v>
      </c>
      <c r="GT10" s="1511"/>
      <c r="GU10" s="1511"/>
      <c r="GV10" s="1511"/>
      <c r="GW10" s="1511"/>
      <c r="GX10" s="1512"/>
      <c r="GY10" s="1519" t="s">
        <v>821</v>
      </c>
      <c r="GZ10" s="1520"/>
      <c r="HA10" s="1520"/>
      <c r="HB10" s="1520"/>
      <c r="HC10" s="1520"/>
      <c r="HD10" s="1524"/>
      <c r="HE10" s="1519" t="s">
        <v>489</v>
      </c>
      <c r="HF10" s="1520"/>
      <c r="HG10" s="1520"/>
      <c r="HH10" s="1520"/>
      <c r="HI10" s="1520"/>
      <c r="HJ10" s="1520"/>
      <c r="HK10" s="1520"/>
      <c r="HL10" s="1520"/>
      <c r="HM10" s="1520"/>
      <c r="HN10" s="1520"/>
      <c r="HO10" s="1520"/>
      <c r="HP10" s="1520"/>
      <c r="HQ10" s="1520"/>
      <c r="HR10" s="1520"/>
      <c r="HS10" s="1520"/>
      <c r="HT10" s="1520"/>
      <c r="HU10" s="1520"/>
      <c r="HV10" s="1520"/>
      <c r="HW10" s="1516"/>
      <c r="HX10" s="1517"/>
      <c r="HY10" s="1517"/>
      <c r="HZ10" s="1517"/>
      <c r="IA10" s="1517"/>
      <c r="IB10" s="1517"/>
      <c r="IC10" s="1517"/>
      <c r="ID10" s="1517"/>
      <c r="IE10" s="1517"/>
      <c r="IF10" s="1517"/>
      <c r="IG10" s="1517"/>
      <c r="IH10" s="1517"/>
      <c r="II10" s="1517"/>
      <c r="IJ10" s="1517"/>
      <c r="IK10" s="1517"/>
      <c r="IL10" s="1517"/>
      <c r="IM10" s="1517"/>
      <c r="IN10" s="1517"/>
      <c r="IO10" s="1580" t="s">
        <v>490</v>
      </c>
      <c r="IP10" s="1581"/>
      <c r="IQ10" s="1581"/>
      <c r="IR10" s="1581"/>
      <c r="IS10" s="1581"/>
      <c r="IT10" s="1581"/>
      <c r="IU10" s="1581"/>
      <c r="IV10" s="1581"/>
      <c r="IW10" s="1581"/>
      <c r="IX10" s="1581"/>
      <c r="IY10" s="1581"/>
      <c r="IZ10" s="1581"/>
      <c r="JA10" s="1581"/>
      <c r="JB10" s="1581"/>
      <c r="JC10" s="1581"/>
      <c r="JD10" s="1581"/>
      <c r="JE10" s="1581"/>
      <c r="JF10" s="1581"/>
      <c r="JG10" s="1510" t="s">
        <v>491</v>
      </c>
      <c r="JH10" s="1511"/>
      <c r="JI10" s="1511"/>
      <c r="JJ10" s="1511"/>
      <c r="JK10" s="1511"/>
      <c r="JL10" s="1511"/>
      <c r="JM10" s="1511"/>
      <c r="JN10" s="1511"/>
      <c r="JO10" s="1511"/>
      <c r="JP10" s="1511"/>
      <c r="JQ10" s="1511"/>
      <c r="JR10" s="1511"/>
      <c r="JS10" s="1511"/>
      <c r="JT10" s="1511"/>
      <c r="JU10" s="1511"/>
      <c r="JV10" s="1511"/>
      <c r="JW10" s="1511"/>
      <c r="JX10" s="1511"/>
      <c r="JY10" s="1519" t="s">
        <v>475</v>
      </c>
      <c r="JZ10" s="1520"/>
      <c r="KA10" s="1520"/>
      <c r="KB10" s="1520"/>
      <c r="KC10" s="1520"/>
      <c r="KD10" s="1520"/>
      <c r="KE10" s="1520"/>
      <c r="KF10" s="1520"/>
      <c r="KG10" s="1520"/>
      <c r="KH10" s="1524"/>
      <c r="KI10" s="1519" t="s">
        <v>477</v>
      </c>
      <c r="KJ10" s="1520"/>
      <c r="KK10" s="1520"/>
      <c r="KL10" s="1520"/>
      <c r="KM10" s="1520"/>
      <c r="KN10" s="1520"/>
      <c r="KO10" s="1520"/>
      <c r="KP10" s="1520"/>
      <c r="KQ10" s="1520"/>
      <c r="KR10" s="1520"/>
      <c r="KS10" s="1520"/>
      <c r="KT10" s="1520"/>
      <c r="KU10" s="1516"/>
      <c r="KV10" s="1517"/>
      <c r="KW10" s="1517"/>
      <c r="KX10" s="1517"/>
      <c r="KY10" s="1517"/>
      <c r="KZ10" s="1517"/>
      <c r="LA10" s="1517"/>
      <c r="LB10" s="1518"/>
      <c r="LC10" s="1525" t="s">
        <v>478</v>
      </c>
      <c r="LD10" s="1527"/>
      <c r="LE10" s="1525" t="s">
        <v>479</v>
      </c>
      <c r="LF10" s="1527"/>
      <c r="LG10" s="1519" t="s">
        <v>483</v>
      </c>
      <c r="LH10" s="1520"/>
      <c r="LI10" s="1520"/>
      <c r="LJ10" s="1520"/>
      <c r="LK10" s="1520"/>
      <c r="LL10" s="1520"/>
      <c r="LM10" s="1520"/>
      <c r="LN10" s="1520"/>
      <c r="LO10" s="1520"/>
      <c r="LP10" s="1520"/>
      <c r="LQ10" s="1520"/>
      <c r="LR10" s="1520"/>
      <c r="LS10" s="1520"/>
      <c r="LT10" s="1520"/>
      <c r="LU10" s="1516"/>
      <c r="LV10" s="1517"/>
      <c r="LW10" s="1517"/>
      <c r="LX10" s="1517"/>
      <c r="LY10" s="1517"/>
      <c r="LZ10" s="1517"/>
      <c r="MA10" s="1517"/>
      <c r="MB10" s="1517"/>
      <c r="MC10" s="1517"/>
      <c r="MD10" s="1517"/>
      <c r="ME10" s="1510" t="s">
        <v>484</v>
      </c>
      <c r="MF10" s="1511"/>
      <c r="MG10" s="1511"/>
      <c r="MH10" s="1511"/>
      <c r="MI10" s="1511"/>
      <c r="MJ10" s="1511"/>
      <c r="MK10" s="1511"/>
      <c r="ML10" s="1511"/>
      <c r="MM10" s="1511"/>
      <c r="MN10" s="1512"/>
      <c r="MO10" s="1510" t="s">
        <v>485</v>
      </c>
      <c r="MP10" s="1511"/>
      <c r="MQ10" s="1511"/>
      <c r="MR10" s="1511"/>
      <c r="MS10" s="1511"/>
      <c r="MT10" s="1511"/>
      <c r="MU10" s="1511"/>
      <c r="MV10" s="1511"/>
      <c r="MW10" s="1511"/>
      <c r="MX10" s="1512"/>
      <c r="MY10" s="1519" t="s">
        <v>469</v>
      </c>
      <c r="MZ10" s="1520"/>
      <c r="NA10" s="1520"/>
      <c r="NB10" s="1524"/>
      <c r="NC10" s="1516"/>
      <c r="ND10" s="1517"/>
      <c r="NE10" s="1517"/>
      <c r="NF10" s="1517"/>
      <c r="NG10" s="1517"/>
      <c r="NH10" s="1518"/>
      <c r="NI10" s="1510" t="s">
        <v>466</v>
      </c>
      <c r="NJ10" s="1511"/>
      <c r="NK10" s="1511"/>
      <c r="NL10" s="1511"/>
      <c r="NM10" s="1511"/>
      <c r="NN10" s="1512"/>
      <c r="NO10" s="1510" t="s">
        <v>465</v>
      </c>
      <c r="NP10" s="1511"/>
      <c r="NQ10" s="1511"/>
      <c r="NR10" s="1511"/>
      <c r="NS10" s="1511"/>
      <c r="NT10" s="1512"/>
      <c r="NU10" s="1519" t="s">
        <v>709</v>
      </c>
      <c r="NV10" s="1520"/>
      <c r="NW10" s="1520"/>
      <c r="NX10" s="1520"/>
      <c r="NY10" s="1520"/>
      <c r="NZ10" s="1520"/>
      <c r="OA10" s="1516"/>
      <c r="OB10" s="1517"/>
      <c r="OC10" s="1517"/>
      <c r="OD10" s="1517"/>
      <c r="OE10" s="1517"/>
      <c r="OF10" s="1518"/>
      <c r="OG10" s="1510" t="s">
        <v>706</v>
      </c>
      <c r="OH10" s="1511"/>
      <c r="OI10" s="1511"/>
      <c r="OJ10" s="1511"/>
      <c r="OK10" s="1511"/>
      <c r="OL10" s="1512"/>
      <c r="OM10" s="1510" t="s">
        <v>707</v>
      </c>
      <c r="ON10" s="1511"/>
      <c r="OO10" s="1511"/>
      <c r="OP10" s="1511"/>
      <c r="OQ10" s="1511"/>
      <c r="OR10" s="1512"/>
      <c r="OS10" s="1519" t="s">
        <v>699</v>
      </c>
      <c r="OT10" s="1520"/>
      <c r="OU10" s="1520"/>
      <c r="OV10" s="1520"/>
      <c r="OW10" s="1520"/>
      <c r="OX10" s="1520"/>
      <c r="OY10" s="1520"/>
      <c r="OZ10" s="1520"/>
      <c r="PA10" s="1520"/>
      <c r="PB10" s="1520"/>
      <c r="PC10" s="1520"/>
      <c r="PD10" s="1520"/>
      <c r="PE10" s="1520"/>
      <c r="PF10" s="1524"/>
      <c r="PG10" s="1516"/>
      <c r="PH10" s="1517"/>
      <c r="PI10" s="1517"/>
      <c r="PJ10" s="1517"/>
      <c r="PK10" s="1517"/>
      <c r="PL10" s="1517"/>
      <c r="PM10" s="1517"/>
      <c r="PN10" s="1517"/>
      <c r="PO10" s="1517"/>
      <c r="PP10" s="1517"/>
      <c r="PQ10" s="1517"/>
      <c r="PR10" s="1517"/>
      <c r="PS10" s="1517"/>
      <c r="PT10" s="1517"/>
      <c r="PU10" s="1517"/>
      <c r="PV10" s="1517"/>
      <c r="PW10" s="1517"/>
      <c r="PX10" s="1518"/>
      <c r="PY10" s="1525" t="s">
        <v>700</v>
      </c>
      <c r="PZ10" s="1526"/>
      <c r="QA10" s="1526"/>
      <c r="QB10" s="1526"/>
      <c r="QC10" s="1526"/>
      <c r="QD10" s="1526"/>
      <c r="QE10" s="1526"/>
      <c r="QF10" s="1526"/>
      <c r="QG10" s="1526"/>
      <c r="QH10" s="1526"/>
      <c r="QI10" s="1526"/>
      <c r="QJ10" s="1526"/>
      <c r="QK10" s="1526"/>
      <c r="QL10" s="1526"/>
      <c r="QM10" s="1526"/>
      <c r="QN10" s="1526"/>
      <c r="QO10" s="1526"/>
      <c r="QP10" s="1527"/>
      <c r="QQ10" s="1525" t="s">
        <v>701</v>
      </c>
      <c r="QR10" s="1526"/>
      <c r="QS10" s="1526"/>
      <c r="QT10" s="1526"/>
      <c r="QU10" s="1526"/>
      <c r="QV10" s="1526"/>
      <c r="QW10" s="1526"/>
      <c r="QX10" s="1526"/>
      <c r="QY10" s="1526"/>
      <c r="QZ10" s="1526"/>
      <c r="RA10" s="1526"/>
      <c r="RB10" s="1526"/>
      <c r="RC10" s="1526"/>
      <c r="RD10" s="1526"/>
      <c r="RE10" s="1526"/>
      <c r="RF10" s="1526"/>
      <c r="RG10" s="1526"/>
      <c r="RH10" s="1527"/>
      <c r="RI10" s="1519" t="s">
        <v>628</v>
      </c>
      <c r="RJ10" s="1524"/>
      <c r="RK10" s="1519" t="s">
        <v>464</v>
      </c>
      <c r="RL10" s="1524"/>
      <c r="RM10" s="1516"/>
      <c r="RN10" s="1518"/>
      <c r="RO10" s="1510" t="s">
        <v>461</v>
      </c>
      <c r="RP10" s="1512"/>
      <c r="RQ10" s="1510" t="s">
        <v>462</v>
      </c>
      <c r="RR10" s="1512"/>
      <c r="RS10" s="1521"/>
      <c r="RT10" s="1602"/>
      <c r="RU10" s="1602"/>
      <c r="RV10" s="1521"/>
      <c r="RW10" s="1602"/>
      <c r="RX10" s="1602"/>
      <c r="RY10" s="1519" t="s">
        <v>459</v>
      </c>
      <c r="RZ10" s="1524"/>
      <c r="SA10" s="1519" t="s">
        <v>456</v>
      </c>
      <c r="SB10" s="1524"/>
      <c r="SC10" s="1519" t="s">
        <v>453</v>
      </c>
      <c r="SD10" s="1524"/>
      <c r="SE10" s="1516"/>
      <c r="SF10" s="1518"/>
      <c r="SG10" s="1519" t="s">
        <v>448</v>
      </c>
      <c r="SH10" s="1524"/>
      <c r="SI10" s="1519" t="s">
        <v>445</v>
      </c>
      <c r="SJ10" s="1524"/>
      <c r="SK10" s="1519" t="s">
        <v>442</v>
      </c>
      <c r="SL10" s="1524"/>
      <c r="SM10" s="1519" t="s">
        <v>439</v>
      </c>
      <c r="SN10" s="1524"/>
      <c r="SO10" s="1604" t="s">
        <v>436</v>
      </c>
      <c r="SP10" s="1605"/>
      <c r="SQ10" s="1549" t="s">
        <v>433</v>
      </c>
      <c r="SR10" s="1550"/>
      <c r="SS10" s="1550"/>
      <c r="ST10" s="1550"/>
      <c r="SU10" s="1550"/>
      <c r="SV10" s="1550"/>
      <c r="SW10" s="1523"/>
      <c r="SX10" s="1521"/>
      <c r="SY10" s="1519" t="s">
        <v>430</v>
      </c>
      <c r="SZ10" s="1520"/>
      <c r="TA10" s="1520"/>
      <c r="TB10" s="1520"/>
      <c r="TC10" s="1520"/>
      <c r="TD10" s="1520"/>
      <c r="TE10" s="1520"/>
      <c r="TF10" s="1520"/>
      <c r="TG10" s="1520"/>
      <c r="TH10" s="1520"/>
      <c r="TI10" s="1520"/>
      <c r="TJ10" s="1520"/>
      <c r="TK10" s="1520"/>
      <c r="TL10" s="1520"/>
      <c r="TM10" s="1520"/>
      <c r="TN10" s="1520"/>
      <c r="TO10" s="1520"/>
      <c r="TP10" s="1524"/>
      <c r="TQ10" s="1519" t="s">
        <v>800</v>
      </c>
      <c r="TR10" s="1520"/>
      <c r="TS10" s="1520"/>
      <c r="TT10" s="1524"/>
      <c r="TU10" s="1516"/>
      <c r="TV10" s="1517"/>
      <c r="TW10" s="1517"/>
      <c r="TX10" s="1518"/>
      <c r="TY10" s="1589" t="s">
        <v>801</v>
      </c>
      <c r="TZ10" s="1606"/>
      <c r="UA10" s="1589" t="s">
        <v>802</v>
      </c>
      <c r="UB10" s="1606"/>
      <c r="UC10" s="1519" t="s">
        <v>805</v>
      </c>
      <c r="UD10" s="1520"/>
      <c r="UE10" s="1520"/>
      <c r="UF10" s="1520"/>
      <c r="UG10" s="1520"/>
      <c r="UH10" s="1524"/>
      <c r="UI10" s="1595"/>
      <c r="UJ10" s="1608"/>
      <c r="UK10" s="1608"/>
      <c r="UL10" s="1608"/>
      <c r="UM10" s="1608"/>
      <c r="UN10" s="1596"/>
      <c r="UO10" s="1589" t="s">
        <v>807</v>
      </c>
      <c r="UP10" s="1606"/>
      <c r="UQ10" s="1589" t="s">
        <v>808</v>
      </c>
      <c r="UR10" s="1606"/>
      <c r="US10" s="1519" t="s">
        <v>535</v>
      </c>
      <c r="UT10" s="1520"/>
      <c r="UU10" s="1520"/>
      <c r="UV10" s="1520"/>
      <c r="UW10" s="1520"/>
      <c r="UX10" s="1524"/>
      <c r="UY10" s="1519" t="s">
        <v>425</v>
      </c>
      <c r="UZ10" s="1520"/>
      <c r="VA10" s="1520"/>
      <c r="VB10" s="1524"/>
      <c r="VC10" s="1516"/>
      <c r="VD10" s="1517"/>
      <c r="VE10" s="1517"/>
      <c r="VF10" s="1517"/>
      <c r="VG10" s="1510" t="s">
        <v>422</v>
      </c>
      <c r="VH10" s="1511"/>
      <c r="VI10" s="1511"/>
      <c r="VJ10" s="1511"/>
      <c r="VK10" s="1510" t="s">
        <v>423</v>
      </c>
      <c r="VL10" s="1511"/>
      <c r="VM10" s="1511"/>
      <c r="VN10" s="1511"/>
      <c r="VO10" s="1521"/>
      <c r="VP10" s="1521"/>
      <c r="VQ10" s="1599" t="s">
        <v>77</v>
      </c>
      <c r="VR10" s="1600"/>
      <c r="VS10" s="1595"/>
      <c r="VT10" s="1596"/>
      <c r="VU10" s="1589" t="s">
        <v>80</v>
      </c>
      <c r="VV10" s="1590"/>
      <c r="VW10" s="1589" t="s">
        <v>81</v>
      </c>
      <c r="VX10" s="1590"/>
      <c r="VY10" s="1591" t="s">
        <v>79</v>
      </c>
      <c r="VZ10" s="1592"/>
      <c r="WA10" s="1595"/>
      <c r="WB10" s="1596"/>
      <c r="WC10" s="1589" t="s">
        <v>75</v>
      </c>
      <c r="WD10" s="1590"/>
      <c r="WE10" s="1589" t="s">
        <v>76</v>
      </c>
      <c r="WF10" s="1590"/>
      <c r="WI10" s="1122"/>
    </row>
    <row r="11" spans="1:607" s="632" customFormat="1" ht="25.5" customHeight="1" thickBot="1" x14ac:dyDescent="0.3">
      <c r="A11" s="1522"/>
      <c r="B11" s="619" t="s">
        <v>171</v>
      </c>
      <c r="C11" s="1162" t="s">
        <v>172</v>
      </c>
      <c r="D11" s="1521"/>
      <c r="E11" s="1521"/>
      <c r="F11" s="1030" t="s">
        <v>171</v>
      </c>
      <c r="G11" s="1303" t="s">
        <v>172</v>
      </c>
      <c r="H11" s="1032" t="s">
        <v>171</v>
      </c>
      <c r="I11" s="621" t="s">
        <v>172</v>
      </c>
      <c r="J11" s="629" t="s">
        <v>171</v>
      </c>
      <c r="K11" s="620" t="s">
        <v>172</v>
      </c>
      <c r="L11" s="629" t="s">
        <v>171</v>
      </c>
      <c r="M11" s="620" t="s">
        <v>172</v>
      </c>
      <c r="N11" s="1030" t="s">
        <v>171</v>
      </c>
      <c r="O11" s="621" t="s">
        <v>172</v>
      </c>
      <c r="P11" s="1031" t="s">
        <v>171</v>
      </c>
      <c r="Q11" s="1032" t="s">
        <v>172</v>
      </c>
      <c r="R11" s="620" t="s">
        <v>171</v>
      </c>
      <c r="S11" s="629" t="s">
        <v>172</v>
      </c>
      <c r="T11" s="620" t="s">
        <v>171</v>
      </c>
      <c r="U11" s="629" t="s">
        <v>172</v>
      </c>
      <c r="V11" s="1031" t="s">
        <v>171</v>
      </c>
      <c r="W11" s="1032" t="s">
        <v>172</v>
      </c>
      <c r="X11" s="666" t="s">
        <v>214</v>
      </c>
      <c r="Y11" s="624" t="s">
        <v>215</v>
      </c>
      <c r="Z11" s="666" t="s">
        <v>216</v>
      </c>
      <c r="AA11" s="1032" t="s">
        <v>171</v>
      </c>
      <c r="AB11" s="618" t="s">
        <v>172</v>
      </c>
      <c r="AC11" s="624" t="s">
        <v>211</v>
      </c>
      <c r="AD11" s="666" t="s">
        <v>212</v>
      </c>
      <c r="AE11" s="629" t="s">
        <v>171</v>
      </c>
      <c r="AF11" s="620" t="s">
        <v>172</v>
      </c>
      <c r="AG11" s="629" t="s">
        <v>171</v>
      </c>
      <c r="AH11" s="622" t="s">
        <v>172</v>
      </c>
      <c r="AI11" s="1522"/>
      <c r="AJ11" s="1516"/>
      <c r="AK11" s="621" t="s">
        <v>171</v>
      </c>
      <c r="AL11" s="641" t="s">
        <v>269</v>
      </c>
      <c r="AM11" s="630" t="s">
        <v>227</v>
      </c>
      <c r="AN11" s="628" t="s">
        <v>397</v>
      </c>
      <c r="AO11" s="944" t="s">
        <v>342</v>
      </c>
      <c r="AP11" s="1361" t="s">
        <v>783</v>
      </c>
      <c r="AQ11" s="621" t="s">
        <v>172</v>
      </c>
      <c r="AR11" s="635" t="s">
        <v>269</v>
      </c>
      <c r="AS11" s="626" t="s">
        <v>227</v>
      </c>
      <c r="AT11" s="1094" t="s">
        <v>397</v>
      </c>
      <c r="AU11" s="726" t="s">
        <v>342</v>
      </c>
      <c r="AV11" s="1361" t="s">
        <v>783</v>
      </c>
      <c r="AW11" s="1274" t="s">
        <v>171</v>
      </c>
      <c r="AX11" s="1078" t="s">
        <v>269</v>
      </c>
      <c r="AY11" s="665" t="s">
        <v>227</v>
      </c>
      <c r="AZ11" s="628" t="s">
        <v>634</v>
      </c>
      <c r="BA11" s="801" t="s">
        <v>342</v>
      </c>
      <c r="BB11" s="1225" t="s">
        <v>667</v>
      </c>
      <c r="BC11" s="1274" t="s">
        <v>172</v>
      </c>
      <c r="BD11" s="641" t="s">
        <v>269</v>
      </c>
      <c r="BE11" s="630" t="s">
        <v>227</v>
      </c>
      <c r="BF11" s="628" t="s">
        <v>634</v>
      </c>
      <c r="BG11" s="801" t="s">
        <v>342</v>
      </c>
      <c r="BH11" s="624" t="s">
        <v>667</v>
      </c>
      <c r="BI11" s="1281" t="s">
        <v>171</v>
      </c>
      <c r="BJ11" s="1078" t="s">
        <v>269</v>
      </c>
      <c r="BK11" s="945" t="s">
        <v>227</v>
      </c>
      <c r="BL11" s="807" t="s">
        <v>634</v>
      </c>
      <c r="BM11" s="726" t="s">
        <v>342</v>
      </c>
      <c r="BN11" s="1287" t="s">
        <v>667</v>
      </c>
      <c r="BO11" s="625" t="s">
        <v>172</v>
      </c>
      <c r="BP11" s="641" t="s">
        <v>269</v>
      </c>
      <c r="BQ11" s="949" t="s">
        <v>227</v>
      </c>
      <c r="BR11" s="628" t="s">
        <v>634</v>
      </c>
      <c r="BS11" s="944" t="s">
        <v>342</v>
      </c>
      <c r="BT11" s="624" t="s">
        <v>667</v>
      </c>
      <c r="BU11" s="1281" t="s">
        <v>171</v>
      </c>
      <c r="BV11" s="1078" t="s">
        <v>269</v>
      </c>
      <c r="BW11" s="665" t="s">
        <v>227</v>
      </c>
      <c r="BX11" s="628" t="s">
        <v>634</v>
      </c>
      <c r="BY11" s="801" t="s">
        <v>342</v>
      </c>
      <c r="BZ11" s="1279" t="s">
        <v>667</v>
      </c>
      <c r="CA11" s="625" t="s">
        <v>172</v>
      </c>
      <c r="CB11" s="1078" t="s">
        <v>269</v>
      </c>
      <c r="CC11" s="630" t="s">
        <v>227</v>
      </c>
      <c r="CD11" s="807" t="s">
        <v>634</v>
      </c>
      <c r="CE11" s="726" t="s">
        <v>342</v>
      </c>
      <c r="CF11" s="628" t="s">
        <v>667</v>
      </c>
      <c r="CG11" s="621" t="s">
        <v>171</v>
      </c>
      <c r="CH11" s="627" t="s">
        <v>229</v>
      </c>
      <c r="CI11" s="630" t="s">
        <v>242</v>
      </c>
      <c r="CJ11" s="626" t="s">
        <v>640</v>
      </c>
      <c r="CK11" s="628" t="s">
        <v>643</v>
      </c>
      <c r="CL11" s="1068" t="s">
        <v>172</v>
      </c>
      <c r="CM11" s="630" t="s">
        <v>229</v>
      </c>
      <c r="CN11" s="630" t="s">
        <v>242</v>
      </c>
      <c r="CO11" s="630" t="s">
        <v>640</v>
      </c>
      <c r="CP11" s="628" t="s">
        <v>643</v>
      </c>
      <c r="CQ11" s="862" t="s">
        <v>171</v>
      </c>
      <c r="CR11" s="627" t="s">
        <v>229</v>
      </c>
      <c r="CS11" s="630" t="s">
        <v>242</v>
      </c>
      <c r="CT11" s="630" t="s">
        <v>640</v>
      </c>
      <c r="CU11" s="628" t="s">
        <v>643</v>
      </c>
      <c r="CV11" s="1068" t="s">
        <v>172</v>
      </c>
      <c r="CW11" s="630" t="s">
        <v>229</v>
      </c>
      <c r="CX11" s="631" t="s">
        <v>242</v>
      </c>
      <c r="CY11" s="630" t="s">
        <v>640</v>
      </c>
      <c r="CZ11" s="628" t="s">
        <v>643</v>
      </c>
      <c r="DA11" s="1132" t="s">
        <v>171</v>
      </c>
      <c r="DB11" s="629" t="s">
        <v>172</v>
      </c>
      <c r="DC11" s="620" t="s">
        <v>171</v>
      </c>
      <c r="DD11" s="629" t="s">
        <v>172</v>
      </c>
      <c r="DE11" s="1250" t="s">
        <v>171</v>
      </c>
      <c r="DF11" s="1251" t="s">
        <v>172</v>
      </c>
      <c r="DG11" s="618" t="s">
        <v>171</v>
      </c>
      <c r="DH11" s="1360" t="s">
        <v>172</v>
      </c>
      <c r="DI11" s="620" t="s">
        <v>171</v>
      </c>
      <c r="DJ11" s="629" t="s">
        <v>172</v>
      </c>
      <c r="DK11" s="620" t="s">
        <v>171</v>
      </c>
      <c r="DL11" s="622" t="s">
        <v>172</v>
      </c>
      <c r="DM11" s="1064" t="s">
        <v>171</v>
      </c>
      <c r="DN11" s="860" t="s">
        <v>172</v>
      </c>
      <c r="DO11" s="621" t="s">
        <v>171</v>
      </c>
      <c r="DP11" s="1063" t="s">
        <v>172</v>
      </c>
      <c r="DQ11" s="1119" t="s">
        <v>171</v>
      </c>
      <c r="DR11" s="622" t="s">
        <v>172</v>
      </c>
      <c r="DS11" s="1120" t="s">
        <v>171</v>
      </c>
      <c r="DT11" s="622" t="s">
        <v>172</v>
      </c>
      <c r="DU11" s="1068" t="s">
        <v>171</v>
      </c>
      <c r="DV11" s="944" t="s">
        <v>379</v>
      </c>
      <c r="DW11" s="944" t="s">
        <v>409</v>
      </c>
      <c r="DX11" s="828" t="s">
        <v>410</v>
      </c>
      <c r="DY11" s="726" t="s">
        <v>289</v>
      </c>
      <c r="DZ11" s="829" t="s">
        <v>290</v>
      </c>
      <c r="EA11" s="726" t="s">
        <v>333</v>
      </c>
      <c r="EB11" s="948" t="s">
        <v>362</v>
      </c>
      <c r="EC11" s="862" t="s">
        <v>172</v>
      </c>
      <c r="ED11" s="801" t="s">
        <v>379</v>
      </c>
      <c r="EE11" s="726" t="s">
        <v>409</v>
      </c>
      <c r="EF11" s="828" t="s">
        <v>410</v>
      </c>
      <c r="EG11" s="726" t="s">
        <v>289</v>
      </c>
      <c r="EH11" s="828" t="s">
        <v>290</v>
      </c>
      <c r="EI11" s="801" t="s">
        <v>333</v>
      </c>
      <c r="EJ11" s="1243" t="s">
        <v>362</v>
      </c>
      <c r="EK11" s="1220" t="s">
        <v>171</v>
      </c>
      <c r="EL11" s="944" t="s">
        <v>362</v>
      </c>
      <c r="EM11" s="1220" t="s">
        <v>172</v>
      </c>
      <c r="EN11" s="1243" t="s">
        <v>362</v>
      </c>
      <c r="EO11" s="851" t="s">
        <v>171</v>
      </c>
      <c r="EP11" s="851" t="s">
        <v>172</v>
      </c>
      <c r="EQ11" s="850" t="s">
        <v>171</v>
      </c>
      <c r="ER11" s="625" t="s">
        <v>172</v>
      </c>
      <c r="ES11" s="1091" t="s">
        <v>171</v>
      </c>
      <c r="ET11" s="1096" t="s">
        <v>582</v>
      </c>
      <c r="EU11" s="1097" t="s">
        <v>583</v>
      </c>
      <c r="EV11" s="621" t="s">
        <v>172</v>
      </c>
      <c r="EW11" s="1096" t="s">
        <v>582</v>
      </c>
      <c r="EX11" s="1157" t="s">
        <v>583</v>
      </c>
      <c r="EY11" s="1488" t="s">
        <v>171</v>
      </c>
      <c r="EZ11" s="1096" t="s">
        <v>858</v>
      </c>
      <c r="FA11" s="1097" t="s">
        <v>859</v>
      </c>
      <c r="FB11" s="621" t="s">
        <v>172</v>
      </c>
      <c r="FC11" s="1096" t="s">
        <v>858</v>
      </c>
      <c r="FD11" s="1097" t="s">
        <v>859</v>
      </c>
      <c r="FE11" s="1156" t="s">
        <v>171</v>
      </c>
      <c r="FF11" s="669" t="s">
        <v>611</v>
      </c>
      <c r="FG11" s="683" t="s">
        <v>612</v>
      </c>
      <c r="FH11" s="624" t="s">
        <v>635</v>
      </c>
      <c r="FI11" s="683" t="s">
        <v>637</v>
      </c>
      <c r="FJ11" s="621" t="s">
        <v>172</v>
      </c>
      <c r="FK11" s="669" t="s">
        <v>611</v>
      </c>
      <c r="FL11" s="683" t="s">
        <v>612</v>
      </c>
      <c r="FM11" s="624" t="s">
        <v>635</v>
      </c>
      <c r="FN11" s="683" t="s">
        <v>637</v>
      </c>
      <c r="FO11" s="1149" t="s">
        <v>171</v>
      </c>
      <c r="FP11" s="1096" t="s">
        <v>595</v>
      </c>
      <c r="FQ11" s="1097" t="s">
        <v>596</v>
      </c>
      <c r="FR11" s="621" t="s">
        <v>172</v>
      </c>
      <c r="FS11" s="1096" t="s">
        <v>595</v>
      </c>
      <c r="FT11" s="1157" t="s">
        <v>596</v>
      </c>
      <c r="FU11" s="857" t="s">
        <v>171</v>
      </c>
      <c r="FV11" s="639" t="s">
        <v>363</v>
      </c>
      <c r="FW11" s="805" t="s">
        <v>364</v>
      </c>
      <c r="FX11" s="1064" t="s">
        <v>172</v>
      </c>
      <c r="FY11" s="641" t="s">
        <v>363</v>
      </c>
      <c r="FZ11" s="831" t="s">
        <v>364</v>
      </c>
      <c r="GA11" s="856" t="s">
        <v>171</v>
      </c>
      <c r="GB11" s="639" t="s">
        <v>360</v>
      </c>
      <c r="GC11" s="805" t="s">
        <v>361</v>
      </c>
      <c r="GD11" s="621" t="s">
        <v>172</v>
      </c>
      <c r="GE11" s="804" t="s">
        <v>360</v>
      </c>
      <c r="GF11" s="805" t="s">
        <v>361</v>
      </c>
      <c r="GG11" s="621" t="s">
        <v>171</v>
      </c>
      <c r="GH11" s="639" t="s">
        <v>360</v>
      </c>
      <c r="GI11" s="805" t="s">
        <v>361</v>
      </c>
      <c r="GJ11" s="621" t="s">
        <v>172</v>
      </c>
      <c r="GK11" s="639" t="s">
        <v>360</v>
      </c>
      <c r="GL11" s="805" t="s">
        <v>361</v>
      </c>
      <c r="GM11" s="622" t="s">
        <v>171</v>
      </c>
      <c r="GN11" s="639" t="s">
        <v>360</v>
      </c>
      <c r="GO11" s="805" t="s">
        <v>361</v>
      </c>
      <c r="GP11" s="858" t="s">
        <v>172</v>
      </c>
      <c r="GQ11" s="639" t="s">
        <v>360</v>
      </c>
      <c r="GR11" s="805" t="s">
        <v>361</v>
      </c>
      <c r="GS11" s="622" t="s">
        <v>171</v>
      </c>
      <c r="GT11" s="639" t="s">
        <v>360</v>
      </c>
      <c r="GU11" s="805" t="s">
        <v>361</v>
      </c>
      <c r="GV11" s="861" t="s">
        <v>172</v>
      </c>
      <c r="GW11" s="639" t="s">
        <v>354</v>
      </c>
      <c r="GX11" s="805" t="s">
        <v>355</v>
      </c>
      <c r="GY11" s="621" t="s">
        <v>171</v>
      </c>
      <c r="GZ11" s="804" t="s">
        <v>823</v>
      </c>
      <c r="HA11" s="805" t="s">
        <v>824</v>
      </c>
      <c r="HB11" s="621" t="s">
        <v>172</v>
      </c>
      <c r="HC11" s="804" t="s">
        <v>823</v>
      </c>
      <c r="HD11" s="805" t="s">
        <v>824</v>
      </c>
      <c r="HE11" s="855" t="s">
        <v>171</v>
      </c>
      <c r="HF11" s="804" t="s">
        <v>588</v>
      </c>
      <c r="HG11" s="805" t="s">
        <v>589</v>
      </c>
      <c r="HH11" s="639" t="s">
        <v>293</v>
      </c>
      <c r="HI11" s="806" t="s">
        <v>295</v>
      </c>
      <c r="HJ11" s="639" t="s">
        <v>294</v>
      </c>
      <c r="HK11" s="806" t="s">
        <v>296</v>
      </c>
      <c r="HL11" s="639" t="s">
        <v>372</v>
      </c>
      <c r="HM11" s="805" t="s">
        <v>373</v>
      </c>
      <c r="HN11" s="621" t="s">
        <v>172</v>
      </c>
      <c r="HO11" s="804" t="s">
        <v>588</v>
      </c>
      <c r="HP11" s="805" t="s">
        <v>589</v>
      </c>
      <c r="HQ11" s="639" t="s">
        <v>293</v>
      </c>
      <c r="HR11" s="806" t="s">
        <v>295</v>
      </c>
      <c r="HS11" s="639" t="s">
        <v>294</v>
      </c>
      <c r="HT11" s="830" t="s">
        <v>296</v>
      </c>
      <c r="HU11" s="639" t="s">
        <v>372</v>
      </c>
      <c r="HV11" s="805" t="s">
        <v>373</v>
      </c>
      <c r="HW11" s="856" t="s">
        <v>171</v>
      </c>
      <c r="HX11" s="804" t="s">
        <v>588</v>
      </c>
      <c r="HY11" s="805" t="s">
        <v>589</v>
      </c>
      <c r="HZ11" s="639" t="s">
        <v>293</v>
      </c>
      <c r="IA11" s="805" t="s">
        <v>295</v>
      </c>
      <c r="IB11" s="639" t="s">
        <v>294</v>
      </c>
      <c r="IC11" s="806" t="s">
        <v>296</v>
      </c>
      <c r="ID11" s="804" t="s">
        <v>372</v>
      </c>
      <c r="IE11" s="805" t="s">
        <v>373</v>
      </c>
      <c r="IF11" s="621" t="s">
        <v>172</v>
      </c>
      <c r="IG11" s="804" t="s">
        <v>588</v>
      </c>
      <c r="IH11" s="805" t="s">
        <v>589</v>
      </c>
      <c r="II11" s="639" t="s">
        <v>293</v>
      </c>
      <c r="IJ11" s="805" t="s">
        <v>295</v>
      </c>
      <c r="IK11" s="887" t="s">
        <v>294</v>
      </c>
      <c r="IL11" s="805" t="s">
        <v>296</v>
      </c>
      <c r="IM11" s="639" t="s">
        <v>372</v>
      </c>
      <c r="IN11" s="805" t="s">
        <v>373</v>
      </c>
      <c r="IO11" s="858" t="s">
        <v>171</v>
      </c>
      <c r="IP11" s="804" t="s">
        <v>588</v>
      </c>
      <c r="IQ11" s="805" t="s">
        <v>589</v>
      </c>
      <c r="IR11" s="639" t="s">
        <v>293</v>
      </c>
      <c r="IS11" s="805" t="s">
        <v>295</v>
      </c>
      <c r="IT11" s="887" t="s">
        <v>294</v>
      </c>
      <c r="IU11" s="805" t="s">
        <v>296</v>
      </c>
      <c r="IV11" s="639" t="s">
        <v>372</v>
      </c>
      <c r="IW11" s="805" t="s">
        <v>373</v>
      </c>
      <c r="IX11" s="858" t="s">
        <v>172</v>
      </c>
      <c r="IY11" s="804" t="s">
        <v>588</v>
      </c>
      <c r="IZ11" s="805" t="s">
        <v>589</v>
      </c>
      <c r="JA11" s="639" t="s">
        <v>293</v>
      </c>
      <c r="JB11" s="806" t="s">
        <v>295</v>
      </c>
      <c r="JC11" s="639" t="s">
        <v>294</v>
      </c>
      <c r="JD11" s="806" t="s">
        <v>296</v>
      </c>
      <c r="JE11" s="639" t="s">
        <v>372</v>
      </c>
      <c r="JF11" s="1384" t="s">
        <v>373</v>
      </c>
      <c r="JG11" s="622" t="s">
        <v>171</v>
      </c>
      <c r="JH11" s="804" t="s">
        <v>588</v>
      </c>
      <c r="JI11" s="805" t="s">
        <v>589</v>
      </c>
      <c r="JJ11" s="1101" t="s">
        <v>293</v>
      </c>
      <c r="JK11" s="1103" t="s">
        <v>295</v>
      </c>
      <c r="JL11" s="1101" t="s">
        <v>294</v>
      </c>
      <c r="JM11" s="1104" t="s">
        <v>296</v>
      </c>
      <c r="JN11" s="1101" t="s">
        <v>372</v>
      </c>
      <c r="JO11" s="1103" t="s">
        <v>373</v>
      </c>
      <c r="JP11" s="1105" t="s">
        <v>172</v>
      </c>
      <c r="JQ11" s="804" t="s">
        <v>588</v>
      </c>
      <c r="JR11" s="805" t="s">
        <v>589</v>
      </c>
      <c r="JS11" s="639" t="s">
        <v>293</v>
      </c>
      <c r="JT11" s="1102" t="s">
        <v>295</v>
      </c>
      <c r="JU11" s="1101" t="s">
        <v>294</v>
      </c>
      <c r="JV11" s="1104" t="s">
        <v>296</v>
      </c>
      <c r="JW11" s="1101" t="s">
        <v>372</v>
      </c>
      <c r="JX11" s="1165" t="s">
        <v>373</v>
      </c>
      <c r="JY11" s="1159" t="s">
        <v>171</v>
      </c>
      <c r="JZ11" s="628" t="s">
        <v>577</v>
      </c>
      <c r="KA11" s="888" t="s">
        <v>578</v>
      </c>
      <c r="KB11" s="628" t="s">
        <v>723</v>
      </c>
      <c r="KC11" s="802" t="s">
        <v>724</v>
      </c>
      <c r="KD11" s="621" t="s">
        <v>172</v>
      </c>
      <c r="KE11" s="628" t="s">
        <v>577</v>
      </c>
      <c r="KF11" s="802" t="s">
        <v>578</v>
      </c>
      <c r="KG11" s="628" t="s">
        <v>723</v>
      </c>
      <c r="KH11" s="802" t="s">
        <v>724</v>
      </c>
      <c r="KI11" s="855" t="s">
        <v>171</v>
      </c>
      <c r="KJ11" s="1080" t="s">
        <v>279</v>
      </c>
      <c r="KK11" s="628" t="s">
        <v>750</v>
      </c>
      <c r="KL11" s="670" t="s">
        <v>753</v>
      </c>
      <c r="KM11" s="624" t="s">
        <v>661</v>
      </c>
      <c r="KN11" s="683" t="s">
        <v>662</v>
      </c>
      <c r="KO11" s="855" t="s">
        <v>172</v>
      </c>
      <c r="KP11" s="626" t="s">
        <v>279</v>
      </c>
      <c r="KQ11" s="628" t="s">
        <v>750</v>
      </c>
      <c r="KR11" s="670" t="s">
        <v>753</v>
      </c>
      <c r="KS11" s="623" t="s">
        <v>661</v>
      </c>
      <c r="KT11" s="668" t="s">
        <v>662</v>
      </c>
      <c r="KU11" s="621" t="s">
        <v>171</v>
      </c>
      <c r="KV11" s="626" t="s">
        <v>306</v>
      </c>
      <c r="KW11" s="626" t="s">
        <v>281</v>
      </c>
      <c r="KX11" s="889" t="s">
        <v>308</v>
      </c>
      <c r="KY11" s="621" t="s">
        <v>172</v>
      </c>
      <c r="KZ11" s="626" t="s">
        <v>306</v>
      </c>
      <c r="LA11" s="626" t="s">
        <v>281</v>
      </c>
      <c r="LB11" s="889" t="s">
        <v>308</v>
      </c>
      <c r="LC11" s="1118" t="s">
        <v>171</v>
      </c>
      <c r="LD11" s="625" t="s">
        <v>172</v>
      </c>
      <c r="LE11" s="1118" t="s">
        <v>171</v>
      </c>
      <c r="LF11" s="625" t="s">
        <v>172</v>
      </c>
      <c r="LG11" s="621" t="s">
        <v>171</v>
      </c>
      <c r="LH11" s="887" t="s">
        <v>551</v>
      </c>
      <c r="LI11" s="805" t="s">
        <v>552</v>
      </c>
      <c r="LJ11" s="804" t="s">
        <v>556</v>
      </c>
      <c r="LK11" s="805" t="s">
        <v>555</v>
      </c>
      <c r="LL11" s="639" t="s">
        <v>772</v>
      </c>
      <c r="LM11" s="806" t="s">
        <v>771</v>
      </c>
      <c r="LN11" s="621" t="s">
        <v>172</v>
      </c>
      <c r="LO11" s="887" t="s">
        <v>551</v>
      </c>
      <c r="LP11" s="805" t="s">
        <v>552</v>
      </c>
      <c r="LQ11" s="639" t="s">
        <v>556</v>
      </c>
      <c r="LR11" s="806" t="s">
        <v>555</v>
      </c>
      <c r="LS11" s="639" t="s">
        <v>772</v>
      </c>
      <c r="LT11" s="806" t="s">
        <v>771</v>
      </c>
      <c r="LU11" s="621" t="s">
        <v>171</v>
      </c>
      <c r="LV11" s="887" t="s">
        <v>551</v>
      </c>
      <c r="LW11" s="805" t="s">
        <v>552</v>
      </c>
      <c r="LX11" s="639" t="s">
        <v>556</v>
      </c>
      <c r="LY11" s="805" t="s">
        <v>555</v>
      </c>
      <c r="LZ11" s="856" t="s">
        <v>172</v>
      </c>
      <c r="MA11" s="639" t="s">
        <v>551</v>
      </c>
      <c r="MB11" s="1384" t="s">
        <v>552</v>
      </c>
      <c r="MC11" s="639" t="s">
        <v>556</v>
      </c>
      <c r="MD11" s="806" t="s">
        <v>555</v>
      </c>
      <c r="ME11" s="622" t="s">
        <v>171</v>
      </c>
      <c r="MF11" s="887" t="s">
        <v>551</v>
      </c>
      <c r="MG11" s="805" t="s">
        <v>552</v>
      </c>
      <c r="MH11" s="806" t="s">
        <v>555</v>
      </c>
      <c r="MI11" s="639" t="s">
        <v>556</v>
      </c>
      <c r="MJ11" s="622" t="s">
        <v>172</v>
      </c>
      <c r="MK11" s="887" t="s">
        <v>551</v>
      </c>
      <c r="ML11" s="805" t="s">
        <v>552</v>
      </c>
      <c r="MM11" s="806" t="s">
        <v>555</v>
      </c>
      <c r="MN11" s="639" t="s">
        <v>556</v>
      </c>
      <c r="MO11" s="859" t="s">
        <v>171</v>
      </c>
      <c r="MP11" s="639" t="s">
        <v>551</v>
      </c>
      <c r="MQ11" s="805" t="s">
        <v>552</v>
      </c>
      <c r="MR11" s="806" t="s">
        <v>555</v>
      </c>
      <c r="MS11" s="639" t="s">
        <v>556</v>
      </c>
      <c r="MT11" s="622" t="s">
        <v>172</v>
      </c>
      <c r="MU11" s="887" t="s">
        <v>551</v>
      </c>
      <c r="MV11" s="805" t="s">
        <v>552</v>
      </c>
      <c r="MW11" s="806" t="s">
        <v>555</v>
      </c>
      <c r="MX11" s="639" t="s">
        <v>556</v>
      </c>
      <c r="MY11" s="618" t="s">
        <v>171</v>
      </c>
      <c r="MZ11" s="624"/>
      <c r="NA11" s="617" t="s">
        <v>172</v>
      </c>
      <c r="NB11" s="624"/>
      <c r="NC11" s="857" t="s">
        <v>171</v>
      </c>
      <c r="ND11" s="669" t="s">
        <v>347</v>
      </c>
      <c r="NE11" s="683" t="s">
        <v>349</v>
      </c>
      <c r="NF11" s="621" t="s">
        <v>172</v>
      </c>
      <c r="NG11" s="628" t="s">
        <v>347</v>
      </c>
      <c r="NH11" s="802" t="s">
        <v>349</v>
      </c>
      <c r="NI11" s="850" t="s">
        <v>171</v>
      </c>
      <c r="NJ11" s="624" t="s">
        <v>347</v>
      </c>
      <c r="NK11" s="764" t="s">
        <v>349</v>
      </c>
      <c r="NL11" s="851" t="s">
        <v>172</v>
      </c>
      <c r="NM11" s="624" t="s">
        <v>347</v>
      </c>
      <c r="NN11" s="764" t="s">
        <v>349</v>
      </c>
      <c r="NO11" s="850" t="s">
        <v>171</v>
      </c>
      <c r="NP11" s="669" t="s">
        <v>347</v>
      </c>
      <c r="NQ11" s="683" t="s">
        <v>349</v>
      </c>
      <c r="NR11" s="851" t="s">
        <v>172</v>
      </c>
      <c r="NS11" s="624" t="s">
        <v>347</v>
      </c>
      <c r="NT11" s="763" t="s">
        <v>349</v>
      </c>
      <c r="NU11" s="1134" t="s">
        <v>171</v>
      </c>
      <c r="NV11" s="624" t="s">
        <v>291</v>
      </c>
      <c r="NW11" s="764" t="s">
        <v>292</v>
      </c>
      <c r="NX11" s="621" t="s">
        <v>172</v>
      </c>
      <c r="NY11" s="669" t="s">
        <v>291</v>
      </c>
      <c r="NZ11" s="683" t="s">
        <v>292</v>
      </c>
      <c r="OA11" s="862" t="s">
        <v>171</v>
      </c>
      <c r="OD11" s="1068" t="s">
        <v>172</v>
      </c>
      <c r="OG11" s="622" t="s">
        <v>171</v>
      </c>
      <c r="OJ11" s="620" t="s">
        <v>172</v>
      </c>
      <c r="OM11" s="629" t="s">
        <v>171</v>
      </c>
      <c r="OP11" s="629" t="s">
        <v>172</v>
      </c>
      <c r="OS11" s="1214" t="s">
        <v>171</v>
      </c>
      <c r="OT11" s="624" t="s">
        <v>343</v>
      </c>
      <c r="OU11" s="764" t="s">
        <v>344</v>
      </c>
      <c r="OV11" s="1455" t="s">
        <v>794</v>
      </c>
      <c r="OW11" s="683" t="s">
        <v>795</v>
      </c>
      <c r="OX11" s="624" t="s">
        <v>345</v>
      </c>
      <c r="OY11" s="764" t="s">
        <v>346</v>
      </c>
      <c r="OZ11" s="621" t="s">
        <v>172</v>
      </c>
      <c r="PA11" s="807" t="s">
        <v>343</v>
      </c>
      <c r="PB11" s="670" t="s">
        <v>344</v>
      </c>
      <c r="PC11" s="1455" t="s">
        <v>794</v>
      </c>
      <c r="PD11" s="683" t="s">
        <v>795</v>
      </c>
      <c r="PE11" s="807" t="s">
        <v>345</v>
      </c>
      <c r="PF11" s="670" t="s">
        <v>346</v>
      </c>
      <c r="PG11" s="1277" t="s">
        <v>171</v>
      </c>
      <c r="PH11" s="1279" t="s">
        <v>348</v>
      </c>
      <c r="PI11" s="1218" t="s">
        <v>350</v>
      </c>
      <c r="PJ11" s="1279" t="s">
        <v>343</v>
      </c>
      <c r="PK11" s="683" t="s">
        <v>344</v>
      </c>
      <c r="PL11" s="1455" t="s">
        <v>794</v>
      </c>
      <c r="PM11" s="683" t="s">
        <v>795</v>
      </c>
      <c r="PN11" s="624" t="s">
        <v>345</v>
      </c>
      <c r="PO11" s="683" t="s">
        <v>346</v>
      </c>
      <c r="PP11" s="621" t="s">
        <v>172</v>
      </c>
      <c r="PQ11" s="624" t="s">
        <v>348</v>
      </c>
      <c r="PR11" s="763" t="s">
        <v>350</v>
      </c>
      <c r="PS11" s="807" t="s">
        <v>343</v>
      </c>
      <c r="PT11" s="670" t="s">
        <v>344</v>
      </c>
      <c r="PU11" s="1455" t="s">
        <v>794</v>
      </c>
      <c r="PV11" s="683" t="s">
        <v>795</v>
      </c>
      <c r="PW11" s="624" t="s">
        <v>345</v>
      </c>
      <c r="PX11" s="683" t="s">
        <v>346</v>
      </c>
      <c r="PY11" s="625" t="s">
        <v>702</v>
      </c>
      <c r="PZ11" s="624" t="s">
        <v>348</v>
      </c>
      <c r="QA11" s="683" t="s">
        <v>350</v>
      </c>
      <c r="QB11" s="669" t="s">
        <v>343</v>
      </c>
      <c r="QC11" s="683" t="s">
        <v>344</v>
      </c>
      <c r="QD11" s="1455" t="s">
        <v>794</v>
      </c>
      <c r="QE11" s="683" t="s">
        <v>795</v>
      </c>
      <c r="QF11" s="624" t="s">
        <v>345</v>
      </c>
      <c r="QG11" s="683" t="s">
        <v>346</v>
      </c>
      <c r="QH11" s="625" t="s">
        <v>172</v>
      </c>
      <c r="QI11" s="669" t="s">
        <v>348</v>
      </c>
      <c r="QJ11" s="683" t="s">
        <v>350</v>
      </c>
      <c r="QK11" s="666" t="s">
        <v>343</v>
      </c>
      <c r="QL11" s="683" t="s">
        <v>344</v>
      </c>
      <c r="QM11" s="1455" t="s">
        <v>794</v>
      </c>
      <c r="QN11" s="683" t="s">
        <v>795</v>
      </c>
      <c r="QO11" s="1279" t="s">
        <v>345</v>
      </c>
      <c r="QP11" s="661" t="s">
        <v>346</v>
      </c>
      <c r="QQ11" s="625" t="s">
        <v>702</v>
      </c>
      <c r="QR11" s="666" t="s">
        <v>348</v>
      </c>
      <c r="QS11" s="1218" t="s">
        <v>350</v>
      </c>
      <c r="QT11" s="624" t="s">
        <v>343</v>
      </c>
      <c r="QU11" s="683" t="s">
        <v>344</v>
      </c>
      <c r="QV11" s="1455" t="s">
        <v>794</v>
      </c>
      <c r="QW11" s="683" t="s">
        <v>795</v>
      </c>
      <c r="QX11" s="624" t="s">
        <v>345</v>
      </c>
      <c r="QY11" s="683" t="s">
        <v>346</v>
      </c>
      <c r="QZ11" s="625" t="s">
        <v>172</v>
      </c>
      <c r="RA11" s="666" t="s">
        <v>348</v>
      </c>
      <c r="RB11" s="683" t="s">
        <v>350</v>
      </c>
      <c r="RC11" s="807" t="s">
        <v>343</v>
      </c>
      <c r="RD11" s="670" t="s">
        <v>344</v>
      </c>
      <c r="RE11" s="1455" t="s">
        <v>794</v>
      </c>
      <c r="RF11" s="683" t="s">
        <v>795</v>
      </c>
      <c r="RG11" s="624" t="s">
        <v>345</v>
      </c>
      <c r="RH11" s="1153" t="s">
        <v>346</v>
      </c>
      <c r="RI11" s="1213" t="s">
        <v>171</v>
      </c>
      <c r="RJ11" s="621" t="s">
        <v>172</v>
      </c>
      <c r="RK11" s="1213" t="s">
        <v>171</v>
      </c>
      <c r="RL11" s="621" t="s">
        <v>172</v>
      </c>
      <c r="RM11" s="1213" t="s">
        <v>171</v>
      </c>
      <c r="RN11" s="621" t="s">
        <v>172</v>
      </c>
      <c r="RO11" s="620" t="s">
        <v>171</v>
      </c>
      <c r="RP11" s="629" t="s">
        <v>172</v>
      </c>
      <c r="RQ11" s="620" t="s">
        <v>171</v>
      </c>
      <c r="RR11" s="629" t="s">
        <v>172</v>
      </c>
      <c r="RS11" s="1522"/>
      <c r="RT11" s="1603"/>
      <c r="RU11" s="1603"/>
      <c r="RV11" s="1522"/>
      <c r="RW11" s="1603"/>
      <c r="RX11" s="1603"/>
      <c r="RY11" s="1212" t="s">
        <v>171</v>
      </c>
      <c r="RZ11" s="231" t="s">
        <v>172</v>
      </c>
      <c r="SA11" s="231" t="s">
        <v>171</v>
      </c>
      <c r="SB11" s="231" t="s">
        <v>172</v>
      </c>
      <c r="SC11" s="231" t="s">
        <v>171</v>
      </c>
      <c r="SD11" s="231" t="s">
        <v>172</v>
      </c>
      <c r="SE11" s="864" t="s">
        <v>171</v>
      </c>
      <c r="SF11" s="231" t="s">
        <v>172</v>
      </c>
      <c r="SG11" s="864" t="s">
        <v>171</v>
      </c>
      <c r="SH11" s="231" t="s">
        <v>172</v>
      </c>
      <c r="SI11" s="863" t="s">
        <v>171</v>
      </c>
      <c r="SJ11" s="231" t="s">
        <v>172</v>
      </c>
      <c r="SK11" s="864" t="s">
        <v>171</v>
      </c>
      <c r="SL11" s="231" t="s">
        <v>172</v>
      </c>
      <c r="SM11" s="232" t="s">
        <v>171</v>
      </c>
      <c r="SN11" s="231" t="s">
        <v>172</v>
      </c>
      <c r="SO11" s="1304" t="s">
        <v>171</v>
      </c>
      <c r="SP11" s="968" t="s">
        <v>172</v>
      </c>
      <c r="SQ11" s="231" t="s">
        <v>171</v>
      </c>
      <c r="SR11" s="718" t="s">
        <v>209</v>
      </c>
      <c r="SS11" s="868" t="s">
        <v>208</v>
      </c>
      <c r="ST11" s="231" t="s">
        <v>172</v>
      </c>
      <c r="SU11" s="1501" t="s">
        <v>209</v>
      </c>
      <c r="SV11" s="968" t="s">
        <v>208</v>
      </c>
      <c r="SW11" s="1523"/>
      <c r="SX11" s="1521"/>
      <c r="SY11" s="230" t="s">
        <v>171</v>
      </c>
      <c r="SZ11" s="877" t="s">
        <v>543</v>
      </c>
      <c r="TA11" s="1229" t="s">
        <v>766</v>
      </c>
      <c r="TB11" s="877" t="s">
        <v>716</v>
      </c>
      <c r="TC11" s="957" t="s">
        <v>767</v>
      </c>
      <c r="TD11" s="877" t="s">
        <v>809</v>
      </c>
      <c r="TE11" s="957" t="s">
        <v>810</v>
      </c>
      <c r="TF11" s="437" t="s">
        <v>714</v>
      </c>
      <c r="TG11" s="877" t="s">
        <v>541</v>
      </c>
      <c r="TH11" s="229" t="s">
        <v>172</v>
      </c>
      <c r="TI11" s="877" t="s">
        <v>543</v>
      </c>
      <c r="TJ11" s="957" t="s">
        <v>766</v>
      </c>
      <c r="TK11" s="877" t="s">
        <v>716</v>
      </c>
      <c r="TL11" s="957" t="s">
        <v>767</v>
      </c>
      <c r="TM11" s="877" t="s">
        <v>809</v>
      </c>
      <c r="TN11" s="957" t="s">
        <v>810</v>
      </c>
      <c r="TO11" s="873" t="s">
        <v>714</v>
      </c>
      <c r="TP11" s="873" t="s">
        <v>541</v>
      </c>
      <c r="TQ11" s="229" t="s">
        <v>171</v>
      </c>
      <c r="TR11" s="1125" t="s">
        <v>745</v>
      </c>
      <c r="TS11" s="229" t="s">
        <v>172</v>
      </c>
      <c r="TT11" s="1125" t="s">
        <v>745</v>
      </c>
      <c r="TU11" s="232" t="s">
        <v>171</v>
      </c>
      <c r="TV11" s="1125" t="s">
        <v>745</v>
      </c>
      <c r="TW11" s="229" t="s">
        <v>172</v>
      </c>
      <c r="TX11" s="1125" t="s">
        <v>745</v>
      </c>
      <c r="TY11" s="286" t="s">
        <v>171</v>
      </c>
      <c r="TZ11" s="288" t="s">
        <v>172</v>
      </c>
      <c r="UA11" s="1264" t="s">
        <v>171</v>
      </c>
      <c r="UB11" s="288" t="s">
        <v>172</v>
      </c>
      <c r="UC11" s="232" t="s">
        <v>171</v>
      </c>
      <c r="UD11" s="1125" t="s">
        <v>529</v>
      </c>
      <c r="UE11" s="1125" t="s">
        <v>530</v>
      </c>
      <c r="UF11" s="229" t="s">
        <v>172</v>
      </c>
      <c r="UG11" s="1125" t="s">
        <v>529</v>
      </c>
      <c r="UH11" s="1125" t="s">
        <v>530</v>
      </c>
      <c r="UI11" s="232" t="s">
        <v>171</v>
      </c>
      <c r="UJ11" s="1125" t="s">
        <v>529</v>
      </c>
      <c r="UK11" s="1125" t="s">
        <v>530</v>
      </c>
      <c r="UL11" s="229" t="s">
        <v>172</v>
      </c>
      <c r="UM11" s="1125" t="s">
        <v>529</v>
      </c>
      <c r="UN11" s="1125" t="s">
        <v>530</v>
      </c>
      <c r="UO11" s="286" t="s">
        <v>171</v>
      </c>
      <c r="UP11" s="288" t="s">
        <v>172</v>
      </c>
      <c r="UQ11" s="1264" t="s">
        <v>171</v>
      </c>
      <c r="UR11" s="288" t="s">
        <v>172</v>
      </c>
      <c r="US11" s="231" t="s">
        <v>171</v>
      </c>
      <c r="UT11" s="1123" t="s">
        <v>536</v>
      </c>
      <c r="UU11" s="1125" t="s">
        <v>538</v>
      </c>
      <c r="UV11" s="231" t="s">
        <v>172</v>
      </c>
      <c r="UW11" s="1123" t="s">
        <v>536</v>
      </c>
      <c r="UX11" s="1125" t="s">
        <v>538</v>
      </c>
      <c r="UY11" s="231" t="s">
        <v>171</v>
      </c>
      <c r="UZ11" s="957"/>
      <c r="VA11" s="231" t="s">
        <v>172</v>
      </c>
      <c r="VB11" s="959"/>
      <c r="VC11" s="231" t="s">
        <v>171</v>
      </c>
      <c r="VD11" s="873" t="s">
        <v>228</v>
      </c>
      <c r="VE11" s="231" t="s">
        <v>172</v>
      </c>
      <c r="VF11" s="437" t="s">
        <v>228</v>
      </c>
      <c r="VG11" s="287" t="s">
        <v>171</v>
      </c>
      <c r="VH11" s="437" t="s">
        <v>228</v>
      </c>
      <c r="VI11" s="287" t="s">
        <v>172</v>
      </c>
      <c r="VJ11" s="437" t="s">
        <v>228</v>
      </c>
      <c r="VK11" s="433" t="s">
        <v>171</v>
      </c>
      <c r="VL11" s="873" t="s">
        <v>228</v>
      </c>
      <c r="VM11" s="287" t="s">
        <v>172</v>
      </c>
      <c r="VN11" s="437" t="s">
        <v>228</v>
      </c>
      <c r="VO11" s="1522"/>
      <c r="VP11" s="1522"/>
      <c r="VQ11" s="230" t="s">
        <v>171</v>
      </c>
      <c r="VR11" s="231" t="s">
        <v>172</v>
      </c>
      <c r="VS11" s="230" t="s">
        <v>171</v>
      </c>
      <c r="VT11" s="231" t="s">
        <v>172</v>
      </c>
      <c r="VU11" s="286" t="s">
        <v>171</v>
      </c>
      <c r="VV11" s="288" t="s">
        <v>172</v>
      </c>
      <c r="VW11" s="286" t="s">
        <v>171</v>
      </c>
      <c r="VX11" s="287" t="s">
        <v>172</v>
      </c>
      <c r="VY11" s="214" t="s">
        <v>171</v>
      </c>
      <c r="VZ11" s="231" t="s">
        <v>172</v>
      </c>
      <c r="WA11" s="230" t="s">
        <v>171</v>
      </c>
      <c r="WB11" s="229" t="s">
        <v>172</v>
      </c>
      <c r="WC11" s="287" t="s">
        <v>171</v>
      </c>
      <c r="WD11" s="287" t="s">
        <v>172</v>
      </c>
      <c r="WE11" s="287" t="s">
        <v>171</v>
      </c>
      <c r="WF11" s="287" t="s">
        <v>172</v>
      </c>
      <c r="WG11" s="215" t="s">
        <v>118</v>
      </c>
      <c r="WH11" s="215" t="s">
        <v>119</v>
      </c>
    </row>
    <row r="12" spans="1:607" s="329" customFormat="1" ht="25.5" customHeight="1" x14ac:dyDescent="0.3">
      <c r="A12" s="337" t="s">
        <v>88</v>
      </c>
      <c r="B12" s="486">
        <f>D12+AI12+'Проверочная  таблица'!RS12+'Проверочная  таблица'!SW12</f>
        <v>305625115.98000002</v>
      </c>
      <c r="C12" s="491">
        <f>E12+'Проверочная  таблица'!RV12+AJ12+'Проверочная  таблица'!SX12</f>
        <v>234407889.49000001</v>
      </c>
      <c r="D12" s="504">
        <f t="shared" ref="D12:D29" si="0">F12+P12+N12+V12+AA12+H12</f>
        <v>72480460</v>
      </c>
      <c r="E12" s="486">
        <f t="shared" ref="E12:E29" si="1">G12+Q12+O12+W12+AB12+I12</f>
        <v>59202890</v>
      </c>
      <c r="F12" s="1061">
        <f>'[1]Дотация  из  ОБ_факт'!I8+'[1]Дотация  из  ОБ_факт'!Q8</f>
        <v>20091400</v>
      </c>
      <c r="G12" s="1365">
        <v>17689675</v>
      </c>
      <c r="H12" s="556">
        <f>'[1]Дотация  из  ОБ_факт'!K8</f>
        <v>27284500</v>
      </c>
      <c r="I12" s="1365">
        <v>20861200</v>
      </c>
      <c r="J12" s="558">
        <f t="shared" ref="J12:J29" si="2">H12-L12</f>
        <v>27284500</v>
      </c>
      <c r="K12" s="562">
        <f t="shared" ref="K12:K26" si="3">I12-M12</f>
        <v>20861200</v>
      </c>
      <c r="L12" s="881">
        <f>'[1]Дотация  из  ОБ_факт'!O8</f>
        <v>0</v>
      </c>
      <c r="M12" s="746"/>
      <c r="N12" s="556">
        <f>'[1]Дотация  из  ОБ_факт'!U8</f>
        <v>3723960</v>
      </c>
      <c r="O12" s="1365">
        <v>2604915</v>
      </c>
      <c r="P12" s="1056">
        <f>'[1]Дотация  из  ОБ_факт'!W8</f>
        <v>20880600</v>
      </c>
      <c r="Q12" s="1365">
        <v>18047100</v>
      </c>
      <c r="R12" s="562">
        <f t="shared" ref="R12:R29" si="4">P12-T12</f>
        <v>20880600</v>
      </c>
      <c r="S12" s="558">
        <f t="shared" ref="S12:S29" si="5">Q12-U12</f>
        <v>18047100</v>
      </c>
      <c r="T12" s="1058">
        <f>'[1]Дотация  из  ОБ_факт'!AA8</f>
        <v>0</v>
      </c>
      <c r="U12" s="800"/>
      <c r="V12" s="1056">
        <f>'[1]Дотация  из  ОБ_факт'!AE8+'[1]Дотация  из  ОБ_факт'!AG8+'[1]Дотация  из  ОБ_факт'!AK8</f>
        <v>500000</v>
      </c>
      <c r="W12" s="443">
        <f t="shared" ref="W12:W29" si="6">SUM(X12:Z12)</f>
        <v>0</v>
      </c>
      <c r="X12" s="882"/>
      <c r="Y12" s="827"/>
      <c r="Z12" s="882"/>
      <c r="AA12" s="556">
        <f>'[1]Дотация  из  ОБ_факт'!AC8+'[1]Дотация  из  ОБ_факт'!AI8</f>
        <v>0</v>
      </c>
      <c r="AB12" s="164">
        <f t="shared" ref="AB12:AB29" si="7">SUM(AC12:AD12)</f>
        <v>0</v>
      </c>
      <c r="AC12" s="827"/>
      <c r="AD12" s="882"/>
      <c r="AE12" s="558">
        <f t="shared" ref="AE12:AE29" si="8">AA12-AG12</f>
        <v>0</v>
      </c>
      <c r="AF12" s="562">
        <f t="shared" ref="AF12:AF29" si="9">AB12-AH12</f>
        <v>0</v>
      </c>
      <c r="AG12" s="557">
        <f>'[1]Дотация  из  ОБ_факт'!AI8</f>
        <v>0</v>
      </c>
      <c r="AH12" s="1369">
        <f>AD12</f>
        <v>0</v>
      </c>
      <c r="AI12" s="559">
        <f>'Проверочная  таблица'!KI12+NU12+OA12+'Проверочная  таблица'!RK12+'Проверочная  таблица'!RM12+DE12+DG12+DM12+DO12+'Проверочная  таблица'!MY12+'Проверочная  таблица'!NC12+CG12+CQ12+'Проверочная  таблица'!HE12+'Проверочная  таблица'!HW12+'Проверочная  таблица'!ES12+'Проверочная  таблица'!JY12+DU12+'Проверочная  таблица'!GA12+'Проверочная  таблица'!GG12+'Проверочная  таблица'!LG12+'Проверочная  таблица'!LU12+FU12+'Проверочная  таблица'!KU12+RI12+OS12+PG12+EK12+AK12+AW12+FO12+FE12+GY12+EY12</f>
        <v>67160945.980000004</v>
      </c>
      <c r="AJ12" s="487">
        <f>'Проверочная  таблица'!KO12+NX12+OD12+'Проверочная  таблица'!RL12+'Проверочная  таблица'!RN12+DF12+DH12+DN12+DP12+'Проверочная  таблица'!NA12+'Проверочная  таблица'!NF12+CL12+CV12+'Проверочная  таблица'!HN12+'Проверочная  таблица'!IF12+'Проверочная  таблица'!EV12+'Проверочная  таблица'!KD12+EC12+'Проверочная  таблица'!GD12+'Проверочная  таблица'!GJ12+'Проверочная  таблица'!LN12+'Проверочная  таблица'!LZ12+FX12+'Проверочная  таблица'!KY12+FR12+RJ12+PP12+OZ12+EM12+AQ12+BC12+FJ12+HB12+FB12</f>
        <v>46666969.509999998</v>
      </c>
      <c r="AK12" s="487">
        <f t="shared" ref="AK12:AK29" si="10">SUM(AL12:AP12)</f>
        <v>0</v>
      </c>
      <c r="AL12" s="328">
        <f>[1]Субсидия_факт!CO10</f>
        <v>0</v>
      </c>
      <c r="AM12" s="1071">
        <f>[1]Субсидия_факт!FK10</f>
        <v>0</v>
      </c>
      <c r="AN12" s="494">
        <f>[1]Субсидия_факт!FW10</f>
        <v>0</v>
      </c>
      <c r="AO12" s="1071">
        <f>[1]Субсидия_факт!KA10</f>
        <v>0</v>
      </c>
      <c r="AP12" s="328">
        <f>[1]Субсидия_факт!LE10</f>
        <v>0</v>
      </c>
      <c r="AQ12" s="487">
        <f t="shared" ref="AQ12:AQ29" si="11">SUM(AR12:AV12)</f>
        <v>0</v>
      </c>
      <c r="AR12" s="609"/>
      <c r="AS12" s="609"/>
      <c r="AT12" s="609"/>
      <c r="AU12" s="609"/>
      <c r="AV12" s="609"/>
      <c r="AW12" s="487">
        <f>SUM(AX12:BB12)</f>
        <v>0</v>
      </c>
      <c r="AX12" s="451">
        <f>[1]Субсидия_факт!CQ10</f>
        <v>0</v>
      </c>
      <c r="AY12" s="328">
        <f>[1]Субсидия_факт!FO10</f>
        <v>0</v>
      </c>
      <c r="AZ12" s="475">
        <f>[1]Субсидия_факт!JK10</f>
        <v>0</v>
      </c>
      <c r="BA12" s="495">
        <f>[1]Субсидия_факт!KC10</f>
        <v>0</v>
      </c>
      <c r="BB12" s="494">
        <f>[1]Субсидия_факт!LG10</f>
        <v>0</v>
      </c>
      <c r="BC12" s="487">
        <f>SUM(BD12:BH12)</f>
        <v>0</v>
      </c>
      <c r="BD12" s="514"/>
      <c r="BE12" s="514"/>
      <c r="BF12" s="514"/>
      <c r="BG12" s="515"/>
      <c r="BH12" s="514"/>
      <c r="BI12" s="657">
        <f>SUM(BJ12:BN12)</f>
        <v>0</v>
      </c>
      <c r="BJ12" s="1108">
        <f t="shared" ref="BJ12:BJ29" si="12">AX12-BV12</f>
        <v>0</v>
      </c>
      <c r="BK12" s="451">
        <f t="shared" ref="BK12:BK29" si="13">AY12-BW12</f>
        <v>0</v>
      </c>
      <c r="BL12" s="451">
        <f t="shared" ref="BL12:BL29" si="14">AZ12-BX12</f>
        <v>0</v>
      </c>
      <c r="BM12" s="328">
        <f t="shared" ref="BM12:BM29" si="15">BA12-BY12</f>
        <v>0</v>
      </c>
      <c r="BN12" s="1288">
        <f t="shared" ref="BN12:BN29" si="16">BB12-BZ12</f>
        <v>0</v>
      </c>
      <c r="BO12" s="657">
        <f>SUM(BP12:BT12)</f>
        <v>0</v>
      </c>
      <c r="BP12" s="606">
        <f t="shared" ref="BP12:BP29" si="17">BD12-CB12</f>
        <v>0</v>
      </c>
      <c r="BQ12" s="495">
        <f t="shared" ref="BQ12:BQ29" si="18">BE12-CC12</f>
        <v>0</v>
      </c>
      <c r="BR12" s="328">
        <f t="shared" ref="BR12:BR29" si="19">BF12-CD12</f>
        <v>0</v>
      </c>
      <c r="BS12" s="942">
        <f t="shared" ref="BS12:BS29" si="20">BG12-CE12</f>
        <v>0</v>
      </c>
      <c r="BT12" s="328">
        <f t="shared" ref="BT12:BT29" si="21">BH12-CF12</f>
        <v>0</v>
      </c>
      <c r="BU12" s="657">
        <f>SUM(BV12:BZ12)</f>
        <v>0</v>
      </c>
      <c r="BV12" s="1286">
        <f>[1]Субсидия_факт!CS10</f>
        <v>0</v>
      </c>
      <c r="BW12" s="1074">
        <f>[1]Субсидия_факт!FQ10</f>
        <v>0</v>
      </c>
      <c r="BX12" s="475">
        <f>[1]Субсидия_факт!JM10</f>
        <v>0</v>
      </c>
      <c r="BY12" s="1073">
        <f>[1]Субсидия_факт!KE10</f>
        <v>0</v>
      </c>
      <c r="BZ12" s="1074">
        <f>[1]Субсидия_факт!LI10</f>
        <v>0</v>
      </c>
      <c r="CA12" s="659">
        <f>SUM(CB12:CF12)</f>
        <v>0</v>
      </c>
      <c r="CB12" s="609"/>
      <c r="CC12" s="514"/>
      <c r="CD12" s="609"/>
      <c r="CE12" s="514"/>
      <c r="CF12" s="514"/>
      <c r="CG12" s="491">
        <f t="shared" ref="CG12:CG29" si="22">SUM(CH12:CK12)</f>
        <v>16881300</v>
      </c>
      <c r="CH12" s="942">
        <f>[1]Субсидия_факт!LM10</f>
        <v>0</v>
      </c>
      <c r="CI12" s="451">
        <f>[1]Субсидия_факт!LS10</f>
        <v>16881300</v>
      </c>
      <c r="CJ12" s="328">
        <f>[1]Субсидия_факт!ME10</f>
        <v>0</v>
      </c>
      <c r="CK12" s="511">
        <f>[1]Субсидия_факт!MK10</f>
        <v>0</v>
      </c>
      <c r="CL12" s="491">
        <f t="shared" ref="CL12:CL29" si="23">SUM(CM12:CP12)</f>
        <v>253219.5</v>
      </c>
      <c r="CM12" s="514"/>
      <c r="CN12" s="514">
        <v>253219.5</v>
      </c>
      <c r="CO12" s="514"/>
      <c r="CP12" s="610"/>
      <c r="CQ12" s="491">
        <f t="shared" ref="CQ12:CQ29" si="24">SUM(CR12:CU12)</f>
        <v>0</v>
      </c>
      <c r="CR12" s="451">
        <f>[1]Субсидия_факт!LO10</f>
        <v>0</v>
      </c>
      <c r="CS12" s="451">
        <f>[1]Субсидия_факт!LU10</f>
        <v>0</v>
      </c>
      <c r="CT12" s="328">
        <f>[1]Субсидия_факт!MG10</f>
        <v>0</v>
      </c>
      <c r="CU12" s="511">
        <f>[1]Субсидия_факт!MM10</f>
        <v>0</v>
      </c>
      <c r="CV12" s="491">
        <f t="shared" ref="CV12:CV29" si="25">SUM(CW12:CZ12)</f>
        <v>0</v>
      </c>
      <c r="CW12" s="514"/>
      <c r="CX12" s="515"/>
      <c r="CY12" s="609"/>
      <c r="CZ12" s="719"/>
      <c r="DA12" s="508">
        <f>CQ12-DC12</f>
        <v>0</v>
      </c>
      <c r="DB12" s="506">
        <f>CV12-DD12</f>
        <v>0</v>
      </c>
      <c r="DC12" s="505">
        <f>CQ12</f>
        <v>0</v>
      </c>
      <c r="DD12" s="508">
        <f>CV12</f>
        <v>0</v>
      </c>
      <c r="DE12" s="486">
        <f>[1]Субсидия_факт!GC10</f>
        <v>0</v>
      </c>
      <c r="DF12" s="1257"/>
      <c r="DG12" s="504">
        <f>[1]Субсидия_факт!GE10</f>
        <v>0</v>
      </c>
      <c r="DH12" s="1257"/>
      <c r="DI12" s="1256">
        <f t="shared" ref="DI12" si="26">DG12-DK12</f>
        <v>0</v>
      </c>
      <c r="DJ12" s="560">
        <f t="shared" ref="DJ12" si="27">DH12-DL12</f>
        <v>0</v>
      </c>
      <c r="DK12" s="1256">
        <f>[1]Субсидия_факт!GG10</f>
        <v>0</v>
      </c>
      <c r="DL12" s="1386">
        <f>DH12</f>
        <v>0</v>
      </c>
      <c r="DM12" s="1069">
        <f>[1]Субсидия_факт!GI10</f>
        <v>0</v>
      </c>
      <c r="DN12" s="1121"/>
      <c r="DO12" s="491">
        <f>[1]Субсидия_факт!GK10</f>
        <v>0</v>
      </c>
      <c r="DP12" s="1121"/>
      <c r="DQ12" s="512">
        <f t="shared" ref="DQ12:DQ29" si="28">DO12-DS12</f>
        <v>0</v>
      </c>
      <c r="DR12" s="512">
        <f t="shared" ref="DR12:DR29" si="29">DP12-DT12</f>
        <v>0</v>
      </c>
      <c r="DS12" s="653">
        <f t="shared" ref="DS12:DS29" si="30">DO12</f>
        <v>0</v>
      </c>
      <c r="DT12" s="1385">
        <f>DP12</f>
        <v>0</v>
      </c>
      <c r="DU12" s="491">
        <f t="shared" ref="DU12:DU29" si="31">SUM(DV12:EB12)</f>
        <v>0</v>
      </c>
      <c r="DV12" s="1071">
        <f>[1]Субсидия_факт!E10</f>
        <v>0</v>
      </c>
      <c r="DW12" s="1108">
        <f>[1]Субсидия_факт!G10</f>
        <v>0</v>
      </c>
      <c r="DX12" s="677">
        <f>[1]Субсидия_факт!I10</f>
        <v>0</v>
      </c>
      <c r="DY12" s="1036">
        <f>[1]Субсидия_факт!K10</f>
        <v>0</v>
      </c>
      <c r="DZ12" s="785">
        <f>[1]Субсидия_факт!M10</f>
        <v>0</v>
      </c>
      <c r="EA12" s="494">
        <f>[1]Субсидия_факт!O10</f>
        <v>0</v>
      </c>
      <c r="EB12" s="1036">
        <f>[1]Субсидия_факт!Q10</f>
        <v>0</v>
      </c>
      <c r="EC12" s="1069">
        <f t="shared" ref="EC12:EC29" si="32">SUM(ED12:EJ12)</f>
        <v>0</v>
      </c>
      <c r="ED12" s="515"/>
      <c r="EE12" s="514"/>
      <c r="EF12" s="681"/>
      <c r="EG12" s="514"/>
      <c r="EH12" s="681"/>
      <c r="EI12" s="515"/>
      <c r="EJ12" s="606">
        <f>EB12</f>
        <v>0</v>
      </c>
      <c r="EK12" s="1069">
        <f>EL12</f>
        <v>0</v>
      </c>
      <c r="EL12" s="1222">
        <f>[1]Субсидия_факт!S10</f>
        <v>0</v>
      </c>
      <c r="EM12" s="486">
        <f>EN12</f>
        <v>0</v>
      </c>
      <c r="EN12" s="606">
        <f>EL12</f>
        <v>0</v>
      </c>
      <c r="EO12" s="560">
        <f>EK12-EQ12</f>
        <v>0</v>
      </c>
      <c r="EP12" s="1066">
        <f>EM12-ER12</f>
        <v>0</v>
      </c>
      <c r="EQ12" s="1066">
        <f>[1]Субсидия_факт!U10</f>
        <v>0</v>
      </c>
      <c r="ER12" s="1244">
        <f>EQ12</f>
        <v>0</v>
      </c>
      <c r="ES12" s="487">
        <f t="shared" ref="ES12:ES29" si="33">SUM(ET12:EU12)</f>
        <v>0</v>
      </c>
      <c r="ET12" s="511">
        <f>[1]Субсидия_факт!AU10</f>
        <v>0</v>
      </c>
      <c r="EU12" s="890">
        <f>[1]Субсидия_факт!AW10</f>
        <v>0</v>
      </c>
      <c r="EV12" s="454">
        <f t="shared" ref="EV12:EV29" si="34">SUM(EW12:EX12)</f>
        <v>0</v>
      </c>
      <c r="EW12" s="777"/>
      <c r="EX12" s="1095"/>
      <c r="EY12" s="487">
        <f t="shared" ref="EY12:EY29" si="35">SUM(EZ12:FA12)</f>
        <v>0</v>
      </c>
      <c r="EZ12" s="511">
        <f>[1]Субсидия_факт!FY10</f>
        <v>0</v>
      </c>
      <c r="FA12" s="890">
        <f>[1]Субсидия_факт!GA10</f>
        <v>0</v>
      </c>
      <c r="FB12" s="454">
        <f t="shared" ref="FB12:FB29" si="36">SUM(FC12:FD12)</f>
        <v>0</v>
      </c>
      <c r="FC12" s="777"/>
      <c r="FD12" s="1095"/>
      <c r="FE12" s="491">
        <f>SUM(FF12:FI12)</f>
        <v>0</v>
      </c>
      <c r="FF12" s="942">
        <f>[1]Субсидия_факт!W10</f>
        <v>0</v>
      </c>
      <c r="FG12" s="1023">
        <f>[1]Субсидия_факт!Y10</f>
        <v>0</v>
      </c>
      <c r="FH12" s="451">
        <f>[1]Субсидия_факт!AA10</f>
        <v>0</v>
      </c>
      <c r="FI12" s="685">
        <f>[1]Субсидия_факт!AC10</f>
        <v>0</v>
      </c>
      <c r="FJ12" s="1069">
        <f>SUM(FK12:FN12)</f>
        <v>0</v>
      </c>
      <c r="FK12" s="1160"/>
      <c r="FL12" s="681"/>
      <c r="FM12" s="1160"/>
      <c r="FN12" s="681"/>
      <c r="FO12" s="487">
        <f t="shared" ref="FO12:FO29" si="37">SUM(FP12:FQ12)</f>
        <v>0</v>
      </c>
      <c r="FP12" s="511">
        <f>[1]Субсидия_факт!AY10</f>
        <v>0</v>
      </c>
      <c r="FQ12" s="890">
        <f>[1]Субсидия_факт!BA10</f>
        <v>0</v>
      </c>
      <c r="FR12" s="454">
        <f t="shared" ref="FR12:FR29" si="38">SUM(FS12:FT12)</f>
        <v>0</v>
      </c>
      <c r="FS12" s="777"/>
      <c r="FT12" s="673"/>
      <c r="FU12" s="486">
        <f t="shared" ref="FU12" si="39">SUM(FV12:FW12)</f>
        <v>0</v>
      </c>
      <c r="FV12" s="513">
        <f>[1]Субсидия_факт!EE10</f>
        <v>0</v>
      </c>
      <c r="FW12" s="751">
        <f>[1]Субсидия_факт!EG10</f>
        <v>0</v>
      </c>
      <c r="FX12" s="491">
        <f t="shared" ref="FX12" si="40">SUM(FY12:FZ12)</f>
        <v>0</v>
      </c>
      <c r="FY12" s="514"/>
      <c r="FZ12" s="703"/>
      <c r="GA12" s="559">
        <f t="shared" ref="GA12:GA29" si="41">SUM(GB12:GC12)</f>
        <v>0</v>
      </c>
      <c r="GB12" s="511">
        <f>[1]Субсидия_факт!DS10</f>
        <v>0</v>
      </c>
      <c r="GC12" s="890">
        <f>[1]Субсидия_факт!DY10</f>
        <v>0</v>
      </c>
      <c r="GD12" s="454">
        <f t="shared" ref="GD12:GD29" si="42">SUM(GE12:GF12)</f>
        <v>0</v>
      </c>
      <c r="GE12" s="719"/>
      <c r="GF12" s="673"/>
      <c r="GG12" s="454">
        <f t="shared" ref="GG12:GG29" si="43">SUM(GH12:GI12)</f>
        <v>1348233</v>
      </c>
      <c r="GH12" s="511">
        <f>[1]Субсидия_факт!DU10</f>
        <v>377507.09</v>
      </c>
      <c r="GI12" s="751">
        <f>[1]Субсидия_факт!EA10</f>
        <v>970725.91</v>
      </c>
      <c r="GJ12" s="454">
        <f t="shared" ref="GJ12:GJ29" si="44">SUM(GK12:GL12)</f>
        <v>1348233</v>
      </c>
      <c r="GK12" s="756">
        <f>GH12</f>
        <v>377507.09</v>
      </c>
      <c r="GL12" s="810">
        <f>GI12</f>
        <v>970725.91</v>
      </c>
      <c r="GM12" s="659">
        <f t="shared" ref="GM12:GM29" si="45">SUM(GN12:GO12)</f>
        <v>1348233</v>
      </c>
      <c r="GN12" s="749">
        <f>'Проверочная  таблица'!GH12-'Проверочная  таблица'!GT12</f>
        <v>377507.09</v>
      </c>
      <c r="GO12" s="671">
        <f>'Проверочная  таблица'!GI12-'Проверочная  таблица'!GU12</f>
        <v>970725.91</v>
      </c>
      <c r="GP12" s="653">
        <f t="shared" ref="GP12:GP29" si="46">SUM(GQ12:GR12)</f>
        <v>1348233</v>
      </c>
      <c r="GQ12" s="756">
        <f>'Проверочная  таблица'!GK12-'Проверочная  таблица'!GW12</f>
        <v>377507.09</v>
      </c>
      <c r="GR12" s="768">
        <f>'Проверочная  таблица'!GL12-'Проверочная  таблица'!GX12</f>
        <v>970725.91</v>
      </c>
      <c r="GS12" s="659">
        <f t="shared" ref="GS12:GS29" si="47">SUM(GT12:GU12)</f>
        <v>0</v>
      </c>
      <c r="GT12" s="511">
        <f>[1]Субсидия_факт!DW10</f>
        <v>0</v>
      </c>
      <c r="GU12" s="890">
        <f>[1]Субсидия_факт!EC10</f>
        <v>0</v>
      </c>
      <c r="GV12" s="659">
        <f t="shared" ref="GV12:GV29" si="48">SUM(GW12:GX12)</f>
        <v>0</v>
      </c>
      <c r="GW12" s="511"/>
      <c r="GX12" s="751"/>
      <c r="GY12" s="454">
        <f t="shared" ref="GY12:GY29" si="49">SUM(GZ12:HA12)</f>
        <v>0</v>
      </c>
      <c r="GZ12" s="756">
        <f>[1]Субсидия_факт!AE10</f>
        <v>0</v>
      </c>
      <c r="HA12" s="671">
        <f>[1]Субсидия_факт!AG10</f>
        <v>0</v>
      </c>
      <c r="HB12" s="454">
        <f t="shared" ref="HB12:HB29" si="50">SUM(HC12:HD12)</f>
        <v>0</v>
      </c>
      <c r="HC12" s="756"/>
      <c r="HD12" s="671"/>
      <c r="HE12" s="747">
        <f t="shared" ref="HE12:HE29" si="51">SUM(HF12:HM12)</f>
        <v>60552.54</v>
      </c>
      <c r="HF12" s="756">
        <f>[1]Субсидия_факт!BW10</f>
        <v>0</v>
      </c>
      <c r="HG12" s="671">
        <f>[1]Субсидия_факт!CC10</f>
        <v>0</v>
      </c>
      <c r="HH12" s="511">
        <f>[1]Субсидия_факт!CU10</f>
        <v>54347.83</v>
      </c>
      <c r="HI12" s="890">
        <f>[1]Субсидия_факт!DA10</f>
        <v>6204.71</v>
      </c>
      <c r="HJ12" s="511">
        <f>[1]Субсидия_факт!DG10</f>
        <v>0</v>
      </c>
      <c r="HK12" s="890">
        <f>[1]Субсидия_факт!DM10</f>
        <v>0</v>
      </c>
      <c r="HL12" s="511">
        <f>[1]Субсидия_факт!EI10</f>
        <v>0</v>
      </c>
      <c r="HM12" s="751">
        <f>[1]Субсидия_факт!EO10</f>
        <v>0</v>
      </c>
      <c r="HN12" s="747">
        <f t="shared" ref="HN12:HN29" si="52">SUM(HO12:HV12)</f>
        <v>60552.54</v>
      </c>
      <c r="HO12" s="610"/>
      <c r="HP12" s="673"/>
      <c r="HQ12" s="756">
        <f>HH12</f>
        <v>54347.83</v>
      </c>
      <c r="HR12" s="768">
        <f>HI12</f>
        <v>6204.71</v>
      </c>
      <c r="HS12" s="756">
        <f>HJ12</f>
        <v>0</v>
      </c>
      <c r="HT12" s="1480">
        <f>HK12</f>
        <v>0</v>
      </c>
      <c r="HU12" s="610"/>
      <c r="HV12" s="673"/>
      <c r="HW12" s="747">
        <f t="shared" ref="HW12:HW29" si="53">SUM(HX12:IE12)</f>
        <v>0</v>
      </c>
      <c r="HX12" s="756">
        <f>[1]Субсидия_факт!BY10</f>
        <v>0</v>
      </c>
      <c r="HY12" s="671">
        <f>[1]Субсидия_факт!CE10</f>
        <v>0</v>
      </c>
      <c r="HZ12" s="511">
        <f>[1]Субсидия_факт!CW10</f>
        <v>0</v>
      </c>
      <c r="IA12" s="751">
        <f>[1]Субсидия_факт!DC10</f>
        <v>0</v>
      </c>
      <c r="IB12" s="511">
        <f>[1]Субсидия_факт!DI10</f>
        <v>0</v>
      </c>
      <c r="IC12" s="890">
        <f>[1]Субсидия_факт!DO10</f>
        <v>0</v>
      </c>
      <c r="ID12" s="511">
        <f>[1]Субсидия_факт!EK10</f>
        <v>0</v>
      </c>
      <c r="IE12" s="751">
        <f>[1]Субсидия_факт!EQ10</f>
        <v>0</v>
      </c>
      <c r="IF12" s="747">
        <f t="shared" ref="IF12:IF29" si="54">SUM(IG12:IN12)</f>
        <v>0</v>
      </c>
      <c r="IG12" s="610"/>
      <c r="IH12" s="673"/>
      <c r="II12" s="749">
        <f>HZ12</f>
        <v>0</v>
      </c>
      <c r="IJ12" s="671">
        <f>IA12</f>
        <v>0</v>
      </c>
      <c r="IK12" s="777"/>
      <c r="IL12" s="673"/>
      <c r="IM12" s="610"/>
      <c r="IN12" s="673"/>
      <c r="IO12" s="750">
        <f t="shared" ref="IO12:IO29" si="55">SUM(IP12:IW12)</f>
        <v>0</v>
      </c>
      <c r="IP12" s="606">
        <f>'Проверочная  таблица'!HX12-JH12</f>
        <v>0</v>
      </c>
      <c r="IQ12" s="677">
        <f>'Проверочная  таблица'!HY12-JI12</f>
        <v>0</v>
      </c>
      <c r="IR12" s="756">
        <f>'Проверочная  таблица'!HZ12-JJ12</f>
        <v>0</v>
      </c>
      <c r="IS12" s="671">
        <f>'Проверочная  таблица'!IA12-JK12</f>
        <v>0</v>
      </c>
      <c r="IT12" s="749">
        <f>'Проверочная  таблица'!IB12-JL12</f>
        <v>0</v>
      </c>
      <c r="IU12" s="671">
        <f>'Проверочная  таблица'!IC12-JM12</f>
        <v>0</v>
      </c>
      <c r="IV12" s="756">
        <f>'Проверочная  таблица'!ID12-JN12</f>
        <v>0</v>
      </c>
      <c r="IW12" s="671">
        <f>'Проверочная  таблица'!IE12-JO12</f>
        <v>0</v>
      </c>
      <c r="IX12" s="750">
        <f t="shared" ref="IX12:IX29" si="56">SUM(IY12:JF12)</f>
        <v>0</v>
      </c>
      <c r="IY12" s="606">
        <f>'Проверочная  таблица'!IG12-JQ12</f>
        <v>0</v>
      </c>
      <c r="IZ12" s="709">
        <f>'Проверочная  таблица'!IH12-JR12</f>
        <v>0</v>
      </c>
      <c r="JA12" s="756">
        <f>'Проверочная  таблица'!II12-JS12</f>
        <v>0</v>
      </c>
      <c r="JB12" s="768">
        <f>'Проверочная  таблица'!IJ12-JT12</f>
        <v>0</v>
      </c>
      <c r="JC12" s="756">
        <f>'Проверочная  таблица'!IK12-JU12</f>
        <v>0</v>
      </c>
      <c r="JD12" s="768">
        <f>'Проверочная  таблица'!IL12-JV12</f>
        <v>0</v>
      </c>
      <c r="JE12" s="756">
        <f>'Проверочная  таблица'!IM12-JW12</f>
        <v>0</v>
      </c>
      <c r="JF12" s="768">
        <f>'Проверочная  таблица'!IN12-JX12</f>
        <v>0</v>
      </c>
      <c r="JG12" s="659">
        <f t="shared" ref="JG12:JG29" si="57">SUM(JH12:JO12)</f>
        <v>0</v>
      </c>
      <c r="JH12" s="756">
        <f>[1]Субсидия_факт!CA10</f>
        <v>0</v>
      </c>
      <c r="JI12" s="671">
        <f>[1]Субсидия_факт!CG10</f>
        <v>0</v>
      </c>
      <c r="JJ12" s="511">
        <f>[1]Субсидия_факт!CY10</f>
        <v>0</v>
      </c>
      <c r="JK12" s="751">
        <f>[1]Субсидия_факт!DE10</f>
        <v>0</v>
      </c>
      <c r="JL12" s="511">
        <f>[1]Субсидия_факт!DK10</f>
        <v>0</v>
      </c>
      <c r="JM12" s="890">
        <f>[1]Субсидия_факт!DQ10</f>
        <v>0</v>
      </c>
      <c r="JN12" s="511">
        <f>[1]Субсидия_факт!EM10</f>
        <v>0</v>
      </c>
      <c r="JO12" s="751">
        <f>[1]Субсидия_факт!ES10</f>
        <v>0</v>
      </c>
      <c r="JP12" s="750">
        <f t="shared" ref="JP12:JP29" si="58">SUM(JQ12:JX12)</f>
        <v>0</v>
      </c>
      <c r="JQ12" s="610"/>
      <c r="JR12" s="673"/>
      <c r="JS12" s="513"/>
      <c r="JT12" s="788"/>
      <c r="JU12" s="513"/>
      <c r="JV12" s="885"/>
      <c r="JW12" s="610"/>
      <c r="JX12" s="673"/>
      <c r="JY12" s="454">
        <f>SUM(JZ12:KC12)</f>
        <v>0</v>
      </c>
      <c r="JZ12" s="511">
        <f>[1]Субсидия_факт!BC10</f>
        <v>0</v>
      </c>
      <c r="KA12" s="890">
        <f>[1]Субсидия_факт!BE10</f>
        <v>0</v>
      </c>
      <c r="KB12" s="511">
        <f>[1]Субсидия_факт!BG10</f>
        <v>0</v>
      </c>
      <c r="KC12" s="890">
        <f>[1]Субсидия_факт!BI10</f>
        <v>0</v>
      </c>
      <c r="KD12" s="454">
        <f>SUM(KE12:KH12)</f>
        <v>0</v>
      </c>
      <c r="KE12" s="610"/>
      <c r="KF12" s="673"/>
      <c r="KG12" s="610"/>
      <c r="KH12" s="673"/>
      <c r="KI12" s="524">
        <f t="shared" ref="KI12:KI29" si="59">SUM(KJ12:KN12)</f>
        <v>0</v>
      </c>
      <c r="KJ12" s="511">
        <f>[1]Субсидия_факт!HO10</f>
        <v>0</v>
      </c>
      <c r="KK12" s="1071">
        <f>[1]Субсидия_факт!HQ10</f>
        <v>0</v>
      </c>
      <c r="KL12" s="685">
        <f>[1]Субсидия_факт!HS10</f>
        <v>0</v>
      </c>
      <c r="KM12" s="1036">
        <f>[1]Субсидия_факт!IC10</f>
        <v>0</v>
      </c>
      <c r="KN12" s="685">
        <f>[1]Субсидия_факт!IE10</f>
        <v>0</v>
      </c>
      <c r="KO12" s="487">
        <f>SUM(KP12:KT12)</f>
        <v>0</v>
      </c>
      <c r="KP12" s="756">
        <f>KJ12</f>
        <v>0</v>
      </c>
      <c r="KQ12" s="514"/>
      <c r="KR12" s="681"/>
      <c r="KS12" s="609"/>
      <c r="KT12" s="681"/>
      <c r="KU12" s="491">
        <f t="shared" ref="KU12:KU29" si="60">SUM(KV12:KX12)</f>
        <v>0</v>
      </c>
      <c r="KV12" s="513">
        <f>[1]Субсидия_факт!HY10</f>
        <v>0</v>
      </c>
      <c r="KW12" s="513">
        <f>[1]Субсидия_факт!HU10</f>
        <v>0</v>
      </c>
      <c r="KX12" s="751">
        <f>[1]Субсидия_факт!HW10</f>
        <v>0</v>
      </c>
      <c r="KY12" s="491">
        <f t="shared" ref="KY12:KY29" si="61">SUM(KZ12:LB12)</f>
        <v>0</v>
      </c>
      <c r="KZ12" s="756">
        <f>KV12</f>
        <v>0</v>
      </c>
      <c r="LA12" s="610"/>
      <c r="LB12" s="673"/>
      <c r="LC12" s="886">
        <f t="shared" ref="LC12:LC29" si="62">KU12-LE12</f>
        <v>0</v>
      </c>
      <c r="LD12" s="886">
        <f t="shared" ref="LD12:LD29" si="63">KY12-LF12</f>
        <v>0</v>
      </c>
      <c r="LE12" s="657">
        <f t="shared" ref="LE12:LE29" si="64">KU12</f>
        <v>0</v>
      </c>
      <c r="LF12" s="1038">
        <f t="shared" ref="LF12:LF29" si="65">KY12</f>
        <v>0</v>
      </c>
      <c r="LG12" s="753">
        <f>SUM(LH12:LM12)</f>
        <v>0</v>
      </c>
      <c r="LH12" s="511">
        <f>[1]Субсидия_факт!OG10</f>
        <v>0</v>
      </c>
      <c r="LI12" s="890">
        <f>[1]Субсидия_факт!OM10</f>
        <v>0</v>
      </c>
      <c r="LJ12" s="511">
        <f>[1]Субсидия_факт!OS10</f>
        <v>0</v>
      </c>
      <c r="LK12" s="890">
        <f>[1]Субсидия_факт!OY10</f>
        <v>0</v>
      </c>
      <c r="LL12" s="756">
        <f>[1]Субсидия_факт!PE10</f>
        <v>0</v>
      </c>
      <c r="LM12" s="768">
        <f>[1]Субсидия_факт!PI10</f>
        <v>0</v>
      </c>
      <c r="LN12" s="753">
        <f t="shared" ref="LN12:LN29" si="66">SUM(LO12:LT12)</f>
        <v>0</v>
      </c>
      <c r="LO12" s="777"/>
      <c r="LP12" s="673"/>
      <c r="LQ12" s="610"/>
      <c r="LR12" s="776"/>
      <c r="LS12" s="610"/>
      <c r="LT12" s="776"/>
      <c r="LU12" s="753">
        <f t="shared" ref="LU12:LU29" si="67">SUM(LV12:LY12)</f>
        <v>0</v>
      </c>
      <c r="LV12" s="511">
        <f>[1]Субсидия_факт!OI10</f>
        <v>0</v>
      </c>
      <c r="LW12" s="890">
        <f>[1]Субсидия_факт!OO10</f>
        <v>0</v>
      </c>
      <c r="LX12" s="513">
        <f>[1]Субсидия_факт!OU10</f>
        <v>0</v>
      </c>
      <c r="LY12" s="751">
        <f>[1]Субсидия_факт!PA10</f>
        <v>0</v>
      </c>
      <c r="LZ12" s="754">
        <f t="shared" ref="LZ12:LZ29" si="68">SUM(MA12:MD12)</f>
        <v>0</v>
      </c>
      <c r="MA12" s="610"/>
      <c r="MB12" s="776"/>
      <c r="MC12" s="610"/>
      <c r="MD12" s="673"/>
      <c r="ME12" s="652">
        <f t="shared" ref="ME12:ME29" si="69">SUM(MF12:MI12)</f>
        <v>0</v>
      </c>
      <c r="MF12" s="642">
        <f>'Проверочная  таблица'!LV12-MP12</f>
        <v>0</v>
      </c>
      <c r="MG12" s="678">
        <f>'Проверочная  таблица'!LW12-MQ12</f>
        <v>0</v>
      </c>
      <c r="MH12" s="765">
        <f>'Проверочная  таблица'!LY12-MR12</f>
        <v>0</v>
      </c>
      <c r="MI12" s="607">
        <f>'Проверочная  таблица'!LX12-MS12</f>
        <v>0</v>
      </c>
      <c r="MJ12" s="755">
        <f t="shared" ref="MJ12:MJ29" si="70">SUM(MK12:MN12)</f>
        <v>0</v>
      </c>
      <c r="MK12" s="749">
        <f>'Проверочная  таблица'!MA12-MU12</f>
        <v>0</v>
      </c>
      <c r="ML12" s="671">
        <f>'Проверочная  таблица'!MB12-MV12</f>
        <v>0</v>
      </c>
      <c r="MM12" s="768">
        <f>'Проверочная  таблица'!MD12-MW12</f>
        <v>0</v>
      </c>
      <c r="MN12" s="756">
        <f>'Проверочная  таблица'!MC12-MX12</f>
        <v>0</v>
      </c>
      <c r="MO12" s="779">
        <f t="shared" ref="MO12:MO29" si="71">SUM(MP12:MS12)</f>
        <v>0</v>
      </c>
      <c r="MP12" s="511">
        <f>[1]Субсидия_факт!OK10</f>
        <v>0</v>
      </c>
      <c r="MQ12" s="890">
        <f>[1]Субсидия_факт!OQ10</f>
        <v>0</v>
      </c>
      <c r="MR12" s="890">
        <f>[1]Субсидия_факт!PC10</f>
        <v>0</v>
      </c>
      <c r="MS12" s="511">
        <f>[1]Субсидия_факт!OW10</f>
        <v>0</v>
      </c>
      <c r="MT12" s="755">
        <f t="shared" ref="MT12:MT29" si="72">SUM(MU12:MX12)</f>
        <v>0</v>
      </c>
      <c r="MU12" s="749">
        <f>MA12</f>
        <v>0</v>
      </c>
      <c r="MV12" s="671">
        <f>MB12</f>
        <v>0</v>
      </c>
      <c r="MW12" s="768">
        <f>MD12</f>
        <v>0</v>
      </c>
      <c r="MX12" s="756">
        <f t="shared" ref="MX12:MX29" si="73">MC12</f>
        <v>0</v>
      </c>
      <c r="MY12" s="486">
        <f>SUM('Проверочная  таблица'!MZ12:MZ12)</f>
        <v>0</v>
      </c>
      <c r="MZ12" s="514"/>
      <c r="NA12" s="486">
        <f>SUM('Проверочная  таблица'!NB12:NB12)</f>
        <v>0</v>
      </c>
      <c r="NB12" s="609"/>
      <c r="NC12" s="486">
        <f t="shared" ref="NC12:NC29" si="74">SUM(ND12:NE12)</f>
        <v>0</v>
      </c>
      <c r="ND12" s="451">
        <f>[1]Субсидия_факт!IU10</f>
        <v>0</v>
      </c>
      <c r="NE12" s="685">
        <f>[1]Субсидия_факт!IY10</f>
        <v>0</v>
      </c>
      <c r="NF12" s="491">
        <f t="shared" ref="NF12:NF29" si="75">SUM(NG12:NH12)</f>
        <v>0</v>
      </c>
      <c r="NG12" s="637"/>
      <c r="NH12" s="769"/>
      <c r="NI12" s="560">
        <f t="shared" ref="NI12:NI29" si="76">SUM(NJ12:NK12)</f>
        <v>0</v>
      </c>
      <c r="NJ12" s="999">
        <f>'Проверочная  таблица'!ND12-NP12</f>
        <v>0</v>
      </c>
      <c r="NK12" s="677">
        <f>'Проверочная  таблица'!NE12-NQ12</f>
        <v>0</v>
      </c>
      <c r="NL12" s="560">
        <f t="shared" ref="NL12:NL29" si="77">SUM(NM12:NN12)</f>
        <v>0</v>
      </c>
      <c r="NM12" s="475">
        <f>'Проверочная  таблица'!NG12-NS12</f>
        <v>0</v>
      </c>
      <c r="NN12" s="677">
        <f>'Проверочная  таблица'!NH12-NT12</f>
        <v>0</v>
      </c>
      <c r="NO12" s="1066">
        <f t="shared" ref="NO12:NO29" si="78">SUM(NP12:NQ12)</f>
        <v>0</v>
      </c>
      <c r="NP12" s="451">
        <f>[1]Субсидия_факт!IW10</f>
        <v>0</v>
      </c>
      <c r="NQ12" s="685">
        <f>[1]Субсидия_факт!JA10</f>
        <v>0</v>
      </c>
      <c r="NR12" s="560">
        <f t="shared" ref="NR12:NR29" si="79">SUM(NS12:NT12)</f>
        <v>0</v>
      </c>
      <c r="NS12" s="475"/>
      <c r="NT12" s="709"/>
      <c r="NU12" s="491">
        <f>SUM(NV12:NW12)</f>
        <v>0</v>
      </c>
      <c r="NV12" s="328">
        <f>[1]Субсидия_факт!FA10</f>
        <v>0</v>
      </c>
      <c r="NW12" s="785">
        <f>[1]Субсидия_факт!FC10</f>
        <v>0</v>
      </c>
      <c r="NX12" s="491">
        <f>SUM(NY12:NZ12)</f>
        <v>0</v>
      </c>
      <c r="NY12" s="609"/>
      <c r="NZ12" s="681"/>
      <c r="OA12" s="491">
        <f>SUM(OB12:OC12)</f>
        <v>0</v>
      </c>
      <c r="OD12" s="491">
        <f>SUM(OE12:OF12)</f>
        <v>0</v>
      </c>
      <c r="OG12" s="506">
        <f>SUM(OH12:OI12)</f>
        <v>0</v>
      </c>
      <c r="OJ12" s="506">
        <f>SUM(OK12:OL12)</f>
        <v>0</v>
      </c>
      <c r="OM12" s="506">
        <f>SUM(ON12:OO12)</f>
        <v>0</v>
      </c>
      <c r="OP12" s="506">
        <f>SUM(OQ12:OR12)</f>
        <v>0</v>
      </c>
      <c r="OS12" s="486">
        <f t="shared" ref="OS12:OS29" si="80">SUM(OT12:OY12)</f>
        <v>0</v>
      </c>
      <c r="OT12" s="494">
        <f>[1]Субсидия_факт!JO10</f>
        <v>0</v>
      </c>
      <c r="OU12" s="785">
        <f>[1]Субсидия_факт!JQ10</f>
        <v>0</v>
      </c>
      <c r="OV12" s="328">
        <f>[1]Субсидия_факт!KS10</f>
        <v>0</v>
      </c>
      <c r="OW12" s="685">
        <f>[1]Субсидия_факт!KY10</f>
        <v>0</v>
      </c>
      <c r="OX12" s="494">
        <f>[1]Субсидия_факт!KG10</f>
        <v>0</v>
      </c>
      <c r="OY12" s="785">
        <f>[1]Субсидия_факт!KM10</f>
        <v>0</v>
      </c>
      <c r="OZ12" s="491">
        <f t="shared" ref="OZ12:OZ29" si="81">SUM(PA12:PF12)</f>
        <v>0</v>
      </c>
      <c r="PA12" s="609"/>
      <c r="PB12" s="681"/>
      <c r="PC12" s="514"/>
      <c r="PD12" s="703"/>
      <c r="PE12" s="609"/>
      <c r="PF12" s="809"/>
      <c r="PG12" s="486">
        <f t="shared" ref="PG12:PG29" si="82">SUM(PH12:PO12)</f>
        <v>0</v>
      </c>
      <c r="PH12" s="494">
        <f>[1]Субсидия_факт!JC10</f>
        <v>0</v>
      </c>
      <c r="PI12" s="1023">
        <f>[1]Субсидия_факт!JG10</f>
        <v>0</v>
      </c>
      <c r="PJ12" s="475">
        <f>[1]Субсидия_факт!JS10</f>
        <v>0</v>
      </c>
      <c r="PK12" s="677">
        <f>[1]Субсидия_факт!JW10</f>
        <v>0</v>
      </c>
      <c r="PL12" s="494">
        <f>[1]Субсидия_факт!KU10</f>
        <v>0</v>
      </c>
      <c r="PM12" s="937">
        <f>[1]Субсидия_факт!LA10</f>
        <v>0</v>
      </c>
      <c r="PN12" s="494">
        <f>[1]Субсидия_факт!KI10</f>
        <v>0</v>
      </c>
      <c r="PO12" s="685">
        <f>[1]Субсидия_факт!KO10</f>
        <v>0</v>
      </c>
      <c r="PP12" s="491">
        <f t="shared" ref="PP12:PP29" si="83">SUM(PQ12:PX12)</f>
        <v>0</v>
      </c>
      <c r="PQ12" s="514"/>
      <c r="PR12" s="770"/>
      <c r="PS12" s="609"/>
      <c r="PT12" s="681"/>
      <c r="PU12" s="514"/>
      <c r="PV12" s="773"/>
      <c r="PW12" s="514"/>
      <c r="PX12" s="681"/>
      <c r="PY12" s="560">
        <f t="shared" ref="PY12:PY29" si="84">SUM(PZ12:QG12)</f>
        <v>0</v>
      </c>
      <c r="PZ12" s="451">
        <f t="shared" ref="PZ12:PZ29" si="85">PH12-QR12</f>
        <v>0</v>
      </c>
      <c r="QA12" s="685">
        <f t="shared" ref="QA12:QA29" si="86">PI12-QS12</f>
        <v>0</v>
      </c>
      <c r="QB12" s="942">
        <f t="shared" ref="QB12:QB29" si="87">PJ12-QT12</f>
        <v>0</v>
      </c>
      <c r="QC12" s="685">
        <f t="shared" ref="QC12:QC29" si="88">PK12-QU12</f>
        <v>0</v>
      </c>
      <c r="QD12" s="328">
        <f t="shared" ref="QD12:QD29" si="89">PL12-QV12</f>
        <v>0</v>
      </c>
      <c r="QE12" s="685">
        <f t="shared" ref="QE12:QE29" si="90">PM12-QW12</f>
        <v>0</v>
      </c>
      <c r="QF12" s="942">
        <f t="shared" ref="QF12:QF29" si="91">PN12-QX12</f>
        <v>0</v>
      </c>
      <c r="QG12" s="685">
        <f t="shared" ref="QG12:QG29" si="92">PO12-QY12</f>
        <v>0</v>
      </c>
      <c r="QH12" s="1066">
        <f t="shared" ref="QH12:QH29" si="93">SUM(QI12:QP12)</f>
        <v>0</v>
      </c>
      <c r="QI12" s="451">
        <f t="shared" ref="QI12:QI29" si="94">PQ12-RA12</f>
        <v>0</v>
      </c>
      <c r="QJ12" s="685">
        <f t="shared" ref="QJ12:QJ29" si="95">PR12-RB12</f>
        <v>0</v>
      </c>
      <c r="QK12" s="942">
        <f t="shared" ref="QK12:QK29" si="96">PS12-RC12</f>
        <v>0</v>
      </c>
      <c r="QL12" s="685">
        <f t="shared" ref="QL12:QL29" si="97">PT12-RD12</f>
        <v>0</v>
      </c>
      <c r="QM12" s="328">
        <f t="shared" ref="QM12:QM29" si="98">PU12-RE12</f>
        <v>0</v>
      </c>
      <c r="QN12" s="785">
        <f t="shared" ref="QN12:QN29" si="99">PV12-RF12</f>
        <v>0</v>
      </c>
      <c r="QO12" s="328">
        <f t="shared" ref="QO12:QO29" si="100">PW12-RG12</f>
        <v>0</v>
      </c>
      <c r="QP12" s="685">
        <f t="shared" ref="QP12:QP29" si="101">PX12-RH12</f>
        <v>0</v>
      </c>
      <c r="QQ12" s="560">
        <f t="shared" ref="QQ12:QQ29" si="102">SUM(QR12:QY12)</f>
        <v>0</v>
      </c>
      <c r="QR12" s="1073">
        <f>[1]Субсидия_факт!JE10</f>
        <v>0</v>
      </c>
      <c r="QS12" s="1183">
        <f>[1]Субсидия_факт!JI10</f>
        <v>0</v>
      </c>
      <c r="QT12" s="1219">
        <f>[1]Субсидия_факт!JU10</f>
        <v>0</v>
      </c>
      <c r="QU12" s="1076">
        <f>[1]Субсидия_факт!JY10</f>
        <v>0</v>
      </c>
      <c r="QV12" s="1074">
        <f>[1]Субсидия_факт!KW10</f>
        <v>0</v>
      </c>
      <c r="QW12" s="1077">
        <f>[1]Субсидия_факт!LC10</f>
        <v>0</v>
      </c>
      <c r="QX12" s="1074">
        <f>[1]Субсидия_факт!KK10</f>
        <v>0</v>
      </c>
      <c r="QY12" s="1075">
        <f>[1]Субсидия_факт!KQ10</f>
        <v>0</v>
      </c>
      <c r="QZ12" s="560">
        <f t="shared" ref="QZ12:QZ29" si="103">SUM(RA12:RH12)</f>
        <v>0</v>
      </c>
      <c r="RA12" s="515"/>
      <c r="RB12" s="677"/>
      <c r="RC12" s="609"/>
      <c r="RD12" s="681"/>
      <c r="RE12" s="515"/>
      <c r="RF12" s="809"/>
      <c r="RG12" s="514"/>
      <c r="RH12" s="1154"/>
      <c r="RI12" s="487">
        <f>[1]Субсидия_факт!PW10</f>
        <v>12075968.540000001</v>
      </c>
      <c r="RJ12" s="1239">
        <f>RI12</f>
        <v>12075968.540000001</v>
      </c>
      <c r="RK12" s="559">
        <f>'Прочая  субсидия_МР  и  ГО'!B8</f>
        <v>11440154.17</v>
      </c>
      <c r="RL12" s="454">
        <f>'Прочая  субсидия_МР  и  ГО'!C8</f>
        <v>11380435.449999999</v>
      </c>
      <c r="RM12" s="559">
        <f>'Прочая  субсидия_БП'!B8</f>
        <v>25354737.73</v>
      </c>
      <c r="RN12" s="487">
        <f>'Прочая  субсидия_БП'!C8</f>
        <v>21548560.48</v>
      </c>
      <c r="RO12" s="557">
        <f>'Прочая  субсидия_БП'!D8</f>
        <v>25354737.73</v>
      </c>
      <c r="RP12" s="558">
        <f>'Прочая  субсидия_БП'!E8</f>
        <v>21548560.48</v>
      </c>
      <c r="RQ12" s="562">
        <f>'Прочая  субсидия_БП'!F8</f>
        <v>0</v>
      </c>
      <c r="RR12" s="558">
        <f>'Прочая  субсидия_БП'!G8</f>
        <v>0</v>
      </c>
      <c r="RS12" s="486">
        <f t="shared" ref="RS12:RS29" si="104">SUM(RT12:RU12)</f>
        <v>165983710</v>
      </c>
      <c r="RT12" s="451">
        <f>'Проверочная  таблица'!SR12+'Проверочная  таблица'!RY12+'Проверочная  таблица'!SA12+'Проверочная  таблица'!SC12</f>
        <v>159622908</v>
      </c>
      <c r="RU12" s="328">
        <f>'Проверочная  таблица'!SS12+'Проверочная  таблица'!SE12+'Проверочная  таблица'!SK12+'Проверочная  таблица'!SG12+'Проверочная  таблица'!SO12+'Проверочная  таблица'!SI12+SM12</f>
        <v>6360802</v>
      </c>
      <c r="RV12" s="491">
        <f t="shared" ref="RV12:RV29" si="105">SUM(RW12:RX12)</f>
        <v>128538029.98</v>
      </c>
      <c r="RW12" s="495">
        <f>'Проверочная  таблица'!SU12+'Проверочная  таблица'!RZ12+'Проверочная  таблица'!SB12+'Проверочная  таблица'!SD12</f>
        <v>123049961</v>
      </c>
      <c r="RX12" s="328">
        <f>'Проверочная  таблица'!SV12+'Проверочная  таблица'!SF12+'Проверочная  таблица'!SL12+'Проверочная  таблица'!SH12+'Проверочная  таблица'!SP12+'Проверочная  таблица'!SJ12+SN12</f>
        <v>5488068.9800000004</v>
      </c>
      <c r="RY12" s="559">
        <f>'Субвенция  на  полномочия'!B8</f>
        <v>152424908</v>
      </c>
      <c r="RZ12" s="454">
        <f>'Субвенция  на  полномочия'!C8</f>
        <v>118058661</v>
      </c>
      <c r="SA12" s="732">
        <f>[1]Субвенция_факт!P9*1000</f>
        <v>5255000</v>
      </c>
      <c r="SB12" s="1471">
        <v>3537300</v>
      </c>
      <c r="SC12" s="732">
        <f>[1]Субвенция_факт!K9*1000</f>
        <v>1260000</v>
      </c>
      <c r="SD12" s="1471">
        <v>771000</v>
      </c>
      <c r="SE12" s="732">
        <f>[1]Субвенция_факт!AD9*1000</f>
        <v>1401900</v>
      </c>
      <c r="SF12" s="735">
        <v>876761.41</v>
      </c>
      <c r="SG12" s="732">
        <f>[1]Субвенция_факт!AE9*1000</f>
        <v>3000</v>
      </c>
      <c r="SH12" s="735"/>
      <c r="SI12" s="732">
        <f>[1]Субвенция_факт!E9*1000</f>
        <v>3595902.0000000005</v>
      </c>
      <c r="SJ12" s="735">
        <v>3575448</v>
      </c>
      <c r="SK12" s="732">
        <f>[1]Субвенция_факт!F9*1000</f>
        <v>0</v>
      </c>
      <c r="SL12" s="866"/>
      <c r="SM12" s="443">
        <f>[1]Субвенция_факт!G9*1000</f>
        <v>0</v>
      </c>
      <c r="SN12" s="867"/>
      <c r="SO12" s="732">
        <f>[1]Субвенция_факт!H9*1000</f>
        <v>0</v>
      </c>
      <c r="SP12" s="735"/>
      <c r="SQ12" s="487">
        <f t="shared" ref="SQ12:SQ29" si="106">SR12+SS12</f>
        <v>2043000</v>
      </c>
      <c r="SR12" s="878">
        <f>[1]Субвенция_факт!AC9*1000</f>
        <v>683000</v>
      </c>
      <c r="SS12" s="872">
        <f>[1]Субвенция_факт!AB9*1000</f>
        <v>1360000</v>
      </c>
      <c r="ST12" s="454">
        <f t="shared" ref="ST12:ST29" si="107">SUM(SU12:SV12)</f>
        <v>1718859.5699999998</v>
      </c>
      <c r="SU12" s="1502">
        <v>683000</v>
      </c>
      <c r="SV12" s="1506">
        <v>1035859.57</v>
      </c>
      <c r="SW12" s="270">
        <f>'Проверочная  таблица'!VC12+'Проверочная  таблица'!UY12+'Проверочная  таблица'!TQ12+'Проверочная  таблица'!TU12+SY12+'Проверочная  таблица'!US12+UC12+UI12</f>
        <v>0</v>
      </c>
      <c r="SX12" s="443">
        <f>'Проверочная  таблица'!VE12+'Проверочная  таблица'!VA12+'Проверочная  таблица'!TS12+'Проверочная  таблица'!TW12+TH12+'Проверочная  таблица'!UV12+UF12+UL12</f>
        <v>0</v>
      </c>
      <c r="SY12" s="1128">
        <f t="shared" ref="SY12:SY29" si="108">SUM(SZ12:TG12)</f>
        <v>0</v>
      </c>
      <c r="SZ12" s="1113">
        <f>'[1]Иные межбюджетные трансферты'!O10</f>
        <v>0</v>
      </c>
      <c r="TA12" s="1110">
        <f>'[1]Иные межбюджетные трансферты'!Q10</f>
        <v>0</v>
      </c>
      <c r="TB12" s="878">
        <f>'[1]Иные межбюджетные трансферты'!I10</f>
        <v>0</v>
      </c>
      <c r="TC12" s="1110">
        <f>'[1]Иные межбюджетные трансферты'!K10</f>
        <v>0</v>
      </c>
      <c r="TD12" s="878">
        <f>'[1]Иные межбюджетные трансферты'!S10</f>
        <v>0</v>
      </c>
      <c r="TE12" s="986">
        <f>'[1]Иные межбюджетные трансферты'!U10</f>
        <v>0</v>
      </c>
      <c r="TF12" s="1235">
        <f>'[1]Иные межбюджетные трансферты'!M10</f>
        <v>0</v>
      </c>
      <c r="TG12" s="1230">
        <f>'[1]Иные межбюджетные трансферты'!W10</f>
        <v>0</v>
      </c>
      <c r="TH12" s="990">
        <f t="shared" ref="TH12:TH29" si="109">SUM(TI12:TP12)</f>
        <v>0</v>
      </c>
      <c r="TI12" s="980"/>
      <c r="TJ12" s="981"/>
      <c r="TK12" s="878"/>
      <c r="TL12" s="986"/>
      <c r="TM12" s="878"/>
      <c r="TN12" s="986"/>
      <c r="TO12" s="980"/>
      <c r="TP12" s="1268"/>
      <c r="TQ12" s="972">
        <f>TR12</f>
        <v>0</v>
      </c>
      <c r="TR12" s="1457">
        <f>'[1]Иные межбюджетные трансферты'!Y10</f>
        <v>0</v>
      </c>
      <c r="TS12" s="972">
        <f>TT12</f>
        <v>0</v>
      </c>
      <c r="TT12" s="986"/>
      <c r="TU12" s="972">
        <f>TV12</f>
        <v>0</v>
      </c>
      <c r="TV12" s="986">
        <f>'[1]Иные межбюджетные трансферты'!AA10</f>
        <v>0</v>
      </c>
      <c r="TW12" s="972">
        <f t="shared" ref="TW12:TW29" si="110">TX12</f>
        <v>0</v>
      </c>
      <c r="TX12" s="1110"/>
      <c r="TY12" s="975">
        <f t="shared" ref="TY12:TY29" si="111">TU12-UA12</f>
        <v>0</v>
      </c>
      <c r="TZ12" s="969">
        <f t="shared" ref="TZ12:TZ29" si="112">TW12-UB12</f>
        <v>0</v>
      </c>
      <c r="UA12" s="1265">
        <f>TU12</f>
        <v>0</v>
      </c>
      <c r="UB12" s="975">
        <f>TW12</f>
        <v>0</v>
      </c>
      <c r="UC12" s="972">
        <f t="shared" ref="UC12:UC29" si="113">SUM(UD12:UE12)</f>
        <v>0</v>
      </c>
      <c r="UD12" s="1271">
        <f>'[1]Иные межбюджетные трансферты'!AE10</f>
        <v>0</v>
      </c>
      <c r="UE12" s="1143">
        <f>'[1]Иные межбюджетные трансферты'!AK10</f>
        <v>0</v>
      </c>
      <c r="UF12" s="972">
        <f t="shared" ref="UF12:UF29" si="114">SUM(UG12:UH12)</f>
        <v>0</v>
      </c>
      <c r="UG12" s="986"/>
      <c r="UH12" s="986"/>
      <c r="UI12" s="972">
        <f t="shared" ref="UI12:UI29" si="115">SUM(UJ12:UK12)</f>
        <v>0</v>
      </c>
      <c r="UJ12" s="1271">
        <f>'[1]Иные межбюджетные трансферты'!AG10</f>
        <v>0</v>
      </c>
      <c r="UK12" s="1143">
        <f>'[1]Иные межбюджетные трансферты'!AM10</f>
        <v>0</v>
      </c>
      <c r="UL12" s="972">
        <f t="shared" ref="UL12:UL29" si="116">SUM(UM12:UN12)</f>
        <v>0</v>
      </c>
      <c r="UM12" s="986"/>
      <c r="UN12" s="1110"/>
      <c r="UO12" s="975">
        <f>UI12-UQ12</f>
        <v>0</v>
      </c>
      <c r="UP12" s="969">
        <f>UL12-UR12</f>
        <v>0</v>
      </c>
      <c r="UQ12" s="969">
        <f>UI12</f>
        <v>0</v>
      </c>
      <c r="UR12" s="1461">
        <f>UL12</f>
        <v>0</v>
      </c>
      <c r="US12" s="1262">
        <f t="shared" ref="US12:US29" si="117">SUM(UT12:UU12)</f>
        <v>0</v>
      </c>
      <c r="UT12" s="1040">
        <f>'[1]Иные межбюджетные трансферты'!E10</f>
        <v>0</v>
      </c>
      <c r="UU12" s="1126">
        <f>'[1]Иные межбюджетные трансферты'!G10</f>
        <v>0</v>
      </c>
      <c r="UV12" s="733">
        <f t="shared" ref="UV12:UV29" si="118">SUM(UW12:UX12)</f>
        <v>0</v>
      </c>
      <c r="UW12" s="1040"/>
      <c r="UX12" s="1126"/>
      <c r="UY12" s="880">
        <f t="shared" ref="UY12:UY29" si="119">SUM(UZ12:UZ12)</f>
        <v>0</v>
      </c>
      <c r="UZ12" s="986"/>
      <c r="VA12" s="1039">
        <f t="shared" ref="VA12:VA29" si="120">SUM(VB12:VB12)</f>
        <v>0</v>
      </c>
      <c r="VB12" s="890"/>
      <c r="VC12" s="510">
        <f t="shared" ref="VC12:VC29" si="121">SUM(VD12:VD12)</f>
        <v>0</v>
      </c>
      <c r="VD12" s="872">
        <f>'[1]Иные межбюджетные трансферты'!AS10</f>
        <v>0</v>
      </c>
      <c r="VE12" s="510">
        <f t="shared" ref="VE12:VE29" si="122">SUM(VF12:VF12)</f>
        <v>0</v>
      </c>
      <c r="VF12" s="513"/>
      <c r="VG12" s="886">
        <f t="shared" ref="VG12:VG29" si="123">SUM(VH12:VH12)</f>
        <v>0</v>
      </c>
      <c r="VH12" s="511">
        <f>'Проверочная  таблица'!VD12-VL12</f>
        <v>0</v>
      </c>
      <c r="VI12" s="886">
        <f t="shared" ref="VI12:VI29" si="124">SUM(VJ12:VJ12)</f>
        <v>0</v>
      </c>
      <c r="VJ12" s="511">
        <f>'Проверочная  таблица'!VF12-VN12</f>
        <v>0</v>
      </c>
      <c r="VK12" s="886">
        <f t="shared" ref="VK12:VK29" si="125">SUM(VL12:VL12)</f>
        <v>0</v>
      </c>
      <c r="VL12" s="872">
        <f>'[1]Иные межбюджетные трансферты'!AU10</f>
        <v>0</v>
      </c>
      <c r="VM12" s="1038">
        <f t="shared" ref="VM12:VM29" si="126">SUM(VN12:VN12)</f>
        <v>0</v>
      </c>
      <c r="VN12" s="513"/>
      <c r="VO12" s="517">
        <f>VQ12+'Проверочная  таблица'!VY12+VU12+'Проверочная  таблица'!WC12+VW12+'Проверочная  таблица'!WE12</f>
        <v>-14550000</v>
      </c>
      <c r="VP12" s="491">
        <f>VR12+'Проверочная  таблица'!VZ12+VV12+'Проверочная  таблица'!WD12+VX12+'Проверочная  таблица'!WF12</f>
        <v>-5832400</v>
      </c>
      <c r="VQ12" s="518">
        <v>2000000</v>
      </c>
      <c r="VR12" s="518">
        <v>2000000</v>
      </c>
      <c r="VS12" s="518"/>
      <c r="VT12" s="518"/>
      <c r="VU12" s="508">
        <f t="shared" ref="VU12:VU29" si="127">VS12-VW12</f>
        <v>0</v>
      </c>
      <c r="VV12" s="506">
        <f t="shared" ref="VV12:VV29" si="128">VT12-VX12</f>
        <v>0</v>
      </c>
      <c r="VW12" s="519"/>
      <c r="VX12" s="509"/>
      <c r="VY12" s="518">
        <v>-15100000</v>
      </c>
      <c r="VZ12" s="518">
        <v>-7800000</v>
      </c>
      <c r="WA12" s="518">
        <f>-100000-800000-300000-250000</f>
        <v>-1450000</v>
      </c>
      <c r="WB12" s="518">
        <f>-32400</f>
        <v>-32400</v>
      </c>
      <c r="WC12" s="508">
        <f t="shared" ref="WC12:WC29" si="129">WA12-WE12</f>
        <v>-1450000</v>
      </c>
      <c r="WD12" s="506">
        <f t="shared" ref="WD12:WD29" si="130">WB12-WF12</f>
        <v>-32400</v>
      </c>
      <c r="WE12" s="520"/>
      <c r="WF12" s="521"/>
      <c r="WG12" s="1356">
        <f>'Проверочная  таблица'!VY12+'Проверочная  таблица'!WA12</f>
        <v>-16550000</v>
      </c>
      <c r="WH12" s="1356">
        <f>'Проверочная  таблица'!VZ12+'Проверочная  таблица'!WB12</f>
        <v>-7832400</v>
      </c>
      <c r="WI12" s="1481"/>
    </row>
    <row r="13" spans="1:607" s="329" customFormat="1" ht="25.5" customHeight="1" x14ac:dyDescent="0.3">
      <c r="A13" s="338" t="s">
        <v>89</v>
      </c>
      <c r="B13" s="524">
        <f>D13+AI13+'Проверочная  таблица'!RS13+'Проверочная  таблица'!SW13</f>
        <v>1016148735.13</v>
      </c>
      <c r="C13" s="517">
        <f>E13+'Проверочная  таблица'!RV13+AJ13+'Проверочная  таблица'!SX13</f>
        <v>780382579.55999994</v>
      </c>
      <c r="D13" s="522">
        <f t="shared" si="0"/>
        <v>148228898</v>
      </c>
      <c r="E13" s="524">
        <f t="shared" si="1"/>
        <v>128375776</v>
      </c>
      <c r="F13" s="1062">
        <f>'[1]Дотация  из  ОБ_факт'!I9+'[1]Дотация  из  ОБ_факт'!Q9</f>
        <v>14889400</v>
      </c>
      <c r="G13" s="1366">
        <v>11167050</v>
      </c>
      <c r="H13" s="563">
        <f>'[1]Дотация  из  ОБ_факт'!K9</f>
        <v>104102700</v>
      </c>
      <c r="I13" s="1366">
        <v>93035987</v>
      </c>
      <c r="J13" s="564">
        <f t="shared" si="2"/>
        <v>44113700</v>
      </c>
      <c r="K13" s="571">
        <f t="shared" si="3"/>
        <v>33130987</v>
      </c>
      <c r="L13" s="883">
        <f>'[1]Дотация  из  ОБ_факт'!O9</f>
        <v>59989000</v>
      </c>
      <c r="M13" s="1364">
        <v>59905000</v>
      </c>
      <c r="N13" s="563">
        <f>'[1]Дотация  из  ОБ_факт'!U9</f>
        <v>781288</v>
      </c>
      <c r="O13" s="1366">
        <v>394000</v>
      </c>
      <c r="P13" s="784">
        <f>'[1]Дотация  из  ОБ_факт'!W9</f>
        <v>24688900</v>
      </c>
      <c r="Q13" s="1366">
        <v>21978739</v>
      </c>
      <c r="R13" s="571">
        <f t="shared" si="4"/>
        <v>23527500</v>
      </c>
      <c r="S13" s="564">
        <f t="shared" si="5"/>
        <v>21078739</v>
      </c>
      <c r="T13" s="1059">
        <f>'[1]Дотация  из  ОБ_факт'!AA9</f>
        <v>1161400</v>
      </c>
      <c r="U13" s="1366">
        <v>900000</v>
      </c>
      <c r="V13" s="784">
        <f>'[1]Дотация  из  ОБ_факт'!AE9+'[1]Дотация  из  ОБ_факт'!AG9+'[1]Дотация  из  ОБ_факт'!AK9</f>
        <v>3766610</v>
      </c>
      <c r="W13" s="163">
        <f t="shared" si="6"/>
        <v>1800000</v>
      </c>
      <c r="X13" s="567"/>
      <c r="Y13" s="566">
        <v>1800000</v>
      </c>
      <c r="Z13" s="567"/>
      <c r="AA13" s="563">
        <f>'[1]Дотация  из  ОБ_факт'!AC9+'[1]Дотация  из  ОБ_факт'!AI9</f>
        <v>0</v>
      </c>
      <c r="AB13" s="165">
        <f t="shared" si="7"/>
        <v>0</v>
      </c>
      <c r="AC13" s="566"/>
      <c r="AD13" s="567"/>
      <c r="AE13" s="564">
        <f t="shared" si="8"/>
        <v>0</v>
      </c>
      <c r="AF13" s="571">
        <f t="shared" si="9"/>
        <v>0</v>
      </c>
      <c r="AG13" s="565">
        <f>'[1]Дотация  из  ОБ_факт'!AI9</f>
        <v>0</v>
      </c>
      <c r="AH13" s="1370">
        <f t="shared" ref="AH13:AH29" si="131">AD13</f>
        <v>0</v>
      </c>
      <c r="AI13" s="559">
        <f>'Проверочная  таблица'!KI13+NU13+OA13+'Проверочная  таблица'!RK13+'Проверочная  таблица'!RM13+DE13+DG13+DM13+DO13+'Проверочная  таблица'!MY13+'Проверочная  таблица'!NC13+CG13+CQ13+'Проверочная  таблица'!HE13+'Проверочная  таблица'!HW13+'Проверочная  таблица'!ES13+'Проверочная  таблица'!JY13+DU13+'Проверочная  таблица'!GA13+'Проверочная  таблица'!GG13+'Проверочная  таблица'!LG13+'Проверочная  таблица'!LU13+FU13+'Проверочная  таблица'!KU13+RI13+OS13+PG13+EK13+AK13+AW13+FO13+FE13+GY13+EY13</f>
        <v>248640772.13</v>
      </c>
      <c r="AJ13" s="487">
        <f>'Проверочная  таблица'!KO13+NX13+OD13+'Проверочная  таблица'!RL13+'Проверочная  таблица'!RN13+DF13+DH13+DN13+DP13+'Проверочная  таблица'!NA13+'Проверочная  таблица'!NF13+CL13+CV13+'Проверочная  таблица'!HN13+'Проверочная  таблица'!IF13+'Проверочная  таблица'!EV13+'Проверочная  таблица'!KD13+EC13+'Проверочная  таблица'!GD13+'Проверочная  таблица'!GJ13+'Проверочная  таблица'!LN13+'Проверочная  таблица'!LZ13+FX13+'Проверочная  таблица'!KY13+FR13+RJ13+PP13+OZ13+EM13+AQ13+BC13+FJ13+HB13+FB13</f>
        <v>178783525.73999995</v>
      </c>
      <c r="AK13" s="487">
        <f t="shared" si="10"/>
        <v>0</v>
      </c>
      <c r="AL13" s="332">
        <f>[1]Субсидия_факт!CO11</f>
        <v>0</v>
      </c>
      <c r="AM13" s="523">
        <f>[1]Субсидия_факт!FK11</f>
        <v>0</v>
      </c>
      <c r="AN13" s="498">
        <f>[1]Субсидия_факт!FW11</f>
        <v>0</v>
      </c>
      <c r="AO13" s="523">
        <f>[1]Субсидия_факт!KA11</f>
        <v>0</v>
      </c>
      <c r="AP13" s="332">
        <f>[1]Субсидия_факт!LE11</f>
        <v>0</v>
      </c>
      <c r="AQ13" s="487">
        <f t="shared" si="11"/>
        <v>0</v>
      </c>
      <c r="AR13" s="462"/>
      <c r="AS13" s="462"/>
      <c r="AT13" s="462"/>
      <c r="AU13" s="462"/>
      <c r="AV13" s="462"/>
      <c r="AW13" s="487">
        <f t="shared" ref="AW13:AW29" si="132">SUM(AX13:BB13)</f>
        <v>24000000</v>
      </c>
      <c r="AX13" s="452">
        <f>[1]Субсидия_факт!CQ11</f>
        <v>24000000</v>
      </c>
      <c r="AY13" s="332">
        <f>[1]Субсидия_факт!FO11</f>
        <v>0</v>
      </c>
      <c r="AZ13" s="476">
        <f>[1]Субсидия_факт!JK11</f>
        <v>0</v>
      </c>
      <c r="BA13" s="496">
        <f>[1]Субсидия_факт!KC11</f>
        <v>0</v>
      </c>
      <c r="BB13" s="498">
        <f>[1]Субсидия_факт!LG11</f>
        <v>0</v>
      </c>
      <c r="BC13" s="487">
        <f t="shared" ref="BC13:BC29" si="133">SUM(BD13:BH13)</f>
        <v>11937052.029999999</v>
      </c>
      <c r="BD13" s="529">
        <v>11937052.029999999</v>
      </c>
      <c r="BE13" s="529"/>
      <c r="BF13" s="333"/>
      <c r="BG13" s="530"/>
      <c r="BH13" s="529"/>
      <c r="BI13" s="657">
        <f t="shared" ref="BI13:BI29" si="134">SUM(BJ13:BN13)</f>
        <v>24000000</v>
      </c>
      <c r="BJ13" s="1025">
        <f t="shared" si="12"/>
        <v>24000000</v>
      </c>
      <c r="BK13" s="452">
        <f t="shared" si="13"/>
        <v>0</v>
      </c>
      <c r="BL13" s="452">
        <f t="shared" si="14"/>
        <v>0</v>
      </c>
      <c r="BM13" s="332">
        <f t="shared" si="15"/>
        <v>0</v>
      </c>
      <c r="BN13" s="488">
        <f t="shared" si="16"/>
        <v>0</v>
      </c>
      <c r="BO13" s="657">
        <f t="shared" ref="BO13:BO29" si="135">SUM(BP13:BT13)</f>
        <v>11937052.029999999</v>
      </c>
      <c r="BP13" s="607">
        <f t="shared" si="17"/>
        <v>11937052.029999999</v>
      </c>
      <c r="BQ13" s="496">
        <f t="shared" si="18"/>
        <v>0</v>
      </c>
      <c r="BR13" s="332">
        <f t="shared" si="19"/>
        <v>0</v>
      </c>
      <c r="BS13" s="430">
        <f t="shared" si="20"/>
        <v>0</v>
      </c>
      <c r="BT13" s="332">
        <f t="shared" si="21"/>
        <v>0</v>
      </c>
      <c r="BU13" s="657">
        <f t="shared" ref="BU13:BU29" si="136">SUM(BV13:BZ13)</f>
        <v>0</v>
      </c>
      <c r="BV13" s="452">
        <f>[1]Субсидия_факт!CS11</f>
        <v>0</v>
      </c>
      <c r="BW13" s="332">
        <f>[1]Субсидия_факт!FQ11</f>
        <v>0</v>
      </c>
      <c r="BX13" s="476">
        <f>[1]Субсидия_факт!JM11</f>
        <v>0</v>
      </c>
      <c r="BY13" s="430">
        <f>[1]Субсидия_факт!KE11</f>
        <v>0</v>
      </c>
      <c r="BZ13" s="332">
        <f>[1]Субсидия_факт!LI11</f>
        <v>0</v>
      </c>
      <c r="CA13" s="659">
        <f t="shared" ref="CA13:CA29" si="137">SUM(CB13:CF13)</f>
        <v>0</v>
      </c>
      <c r="CB13" s="782"/>
      <c r="CC13" s="529"/>
      <c r="CD13" s="462"/>
      <c r="CE13" s="529"/>
      <c r="CF13" s="529"/>
      <c r="CG13" s="517">
        <f t="shared" si="22"/>
        <v>18350844</v>
      </c>
      <c r="CH13" s="430">
        <f>[1]Субсидия_факт!LM11</f>
        <v>0</v>
      </c>
      <c r="CI13" s="452">
        <f>[1]Субсидия_факт!LS11</f>
        <v>18350844</v>
      </c>
      <c r="CJ13" s="332">
        <f>[1]Субсидия_факт!ME11</f>
        <v>0</v>
      </c>
      <c r="CK13" s="511">
        <f>[1]Субсидия_факт!MK11</f>
        <v>0</v>
      </c>
      <c r="CL13" s="517">
        <f t="shared" si="23"/>
        <v>18350844</v>
      </c>
      <c r="CM13" s="529"/>
      <c r="CN13" s="529">
        <v>18350844</v>
      </c>
      <c r="CO13" s="529"/>
      <c r="CP13" s="610"/>
      <c r="CQ13" s="517">
        <f t="shared" si="24"/>
        <v>42619378</v>
      </c>
      <c r="CR13" s="452">
        <f>[1]Субсидия_факт!LO11</f>
        <v>15459000</v>
      </c>
      <c r="CS13" s="452">
        <f>[1]Субсидия_факт!LU11</f>
        <v>2620378</v>
      </c>
      <c r="CT13" s="332">
        <f>[1]Субсидия_факт!MG11</f>
        <v>0</v>
      </c>
      <c r="CU13" s="511">
        <f>[1]Субсидия_факт!MM11</f>
        <v>24540000</v>
      </c>
      <c r="CV13" s="517">
        <f t="shared" si="25"/>
        <v>22926179.879999999</v>
      </c>
      <c r="CW13" s="529"/>
      <c r="CX13" s="530">
        <v>0</v>
      </c>
      <c r="CY13" s="782"/>
      <c r="CZ13" s="1382">
        <v>22926179.879999999</v>
      </c>
      <c r="DA13" s="528">
        <f t="shared" ref="DA13:DA29" si="138">CQ13-DC13</f>
        <v>0</v>
      </c>
      <c r="DB13" s="526">
        <f t="shared" ref="DB13:DB29" si="139">CV13-DD13</f>
        <v>0</v>
      </c>
      <c r="DC13" s="525">
        <f t="shared" ref="DC13:DC29" si="140">CQ13</f>
        <v>42619378</v>
      </c>
      <c r="DD13" s="528">
        <f t="shared" ref="DD13:DD29" si="141">CV13</f>
        <v>22926179.879999999</v>
      </c>
      <c r="DE13" s="524">
        <f>[1]Субсидия_факт!GC11</f>
        <v>12278353.279999999</v>
      </c>
      <c r="DF13" s="1389">
        <v>10294970.449999999</v>
      </c>
      <c r="DG13" s="522">
        <f>[1]Субсидия_факт!GE11</f>
        <v>15907764.060000001</v>
      </c>
      <c r="DH13" s="1389">
        <v>15559043.300000001</v>
      </c>
      <c r="DI13" s="757">
        <f t="shared" ref="DI13:DI29" si="142">DG13-DK13</f>
        <v>0</v>
      </c>
      <c r="DJ13" s="570">
        <f t="shared" ref="DJ13:DJ29" si="143">DH13-DL13</f>
        <v>0</v>
      </c>
      <c r="DK13" s="757">
        <f>[1]Субсидия_факт!GG11</f>
        <v>15907764.060000001</v>
      </c>
      <c r="DL13" s="1387">
        <f t="shared" ref="DL13:DL29" si="144">DH13</f>
        <v>15559043.300000001</v>
      </c>
      <c r="DM13" s="516">
        <f>[1]Субсидия_факт!GI11</f>
        <v>646229.12</v>
      </c>
      <c r="DN13" s="1382">
        <v>541840.55000000005</v>
      </c>
      <c r="DO13" s="517">
        <f>[1]Субсидия_факт!GK11</f>
        <v>837250.74</v>
      </c>
      <c r="DP13" s="1382">
        <v>818897.02</v>
      </c>
      <c r="DQ13" s="526">
        <f t="shared" si="28"/>
        <v>0</v>
      </c>
      <c r="DR13" s="526">
        <f t="shared" si="29"/>
        <v>0</v>
      </c>
      <c r="DS13" s="653">
        <f t="shared" si="30"/>
        <v>837250.74</v>
      </c>
      <c r="DT13" s="1385">
        <f t="shared" ref="DT13:DT29" si="145">DP13</f>
        <v>818897.02</v>
      </c>
      <c r="DU13" s="517">
        <f t="shared" si="31"/>
        <v>0</v>
      </c>
      <c r="DV13" s="523">
        <f>[1]Субсидия_факт!E11</f>
        <v>0</v>
      </c>
      <c r="DW13" s="1025">
        <f>[1]Субсидия_факт!G11</f>
        <v>0</v>
      </c>
      <c r="DX13" s="678">
        <f>[1]Субсидия_факт!I11</f>
        <v>0</v>
      </c>
      <c r="DY13" s="636">
        <f>[1]Субсидия_факт!K11</f>
        <v>0</v>
      </c>
      <c r="DZ13" s="786">
        <f>[1]Субсидия_факт!M11</f>
        <v>0</v>
      </c>
      <c r="EA13" s="498">
        <f>[1]Субсидия_факт!O11</f>
        <v>0</v>
      </c>
      <c r="EB13" s="636">
        <f>[1]Субсидия_факт!Q11</f>
        <v>0</v>
      </c>
      <c r="EC13" s="516">
        <f t="shared" si="32"/>
        <v>0</v>
      </c>
      <c r="ED13" s="530"/>
      <c r="EE13" s="529"/>
      <c r="EF13" s="682"/>
      <c r="EG13" s="529"/>
      <c r="EH13" s="682"/>
      <c r="EI13" s="530"/>
      <c r="EJ13" s="607">
        <f t="shared" ref="EJ13:EJ29" si="146">EB13</f>
        <v>0</v>
      </c>
      <c r="EK13" s="516">
        <f t="shared" ref="EK13:EM29" si="147">EL13</f>
        <v>0</v>
      </c>
      <c r="EL13" s="1223">
        <f>[1]Субсидия_факт!S11</f>
        <v>0</v>
      </c>
      <c r="EM13" s="524">
        <f t="shared" si="147"/>
        <v>0</v>
      </c>
      <c r="EN13" s="607">
        <f t="shared" ref="EN13:EN29" si="148">EL13</f>
        <v>0</v>
      </c>
      <c r="EO13" s="570">
        <f t="shared" ref="EO13:EO29" si="149">EK13-EQ13</f>
        <v>0</v>
      </c>
      <c r="EP13" s="633">
        <f t="shared" ref="EP13:EP29" si="150">EM13-ER13</f>
        <v>0</v>
      </c>
      <c r="EQ13" s="633">
        <f>[1]Субсидия_факт!U11</f>
        <v>0</v>
      </c>
      <c r="ER13" s="1245">
        <f t="shared" ref="ER13:ER29" si="151">EQ13</f>
        <v>0</v>
      </c>
      <c r="ES13" s="487">
        <f t="shared" si="33"/>
        <v>0</v>
      </c>
      <c r="ET13" s="511">
        <f>[1]Субсидия_факт!AU11</f>
        <v>0</v>
      </c>
      <c r="EU13" s="890">
        <f>[1]Субсидия_факт!AW11</f>
        <v>0</v>
      </c>
      <c r="EV13" s="454">
        <f t="shared" si="34"/>
        <v>0</v>
      </c>
      <c r="EW13" s="777"/>
      <c r="EX13" s="1095"/>
      <c r="EY13" s="487">
        <f t="shared" si="35"/>
        <v>0</v>
      </c>
      <c r="EZ13" s="511">
        <f>[1]Субсидия_факт!FY11</f>
        <v>0</v>
      </c>
      <c r="FA13" s="890">
        <f>[1]Субсидия_факт!GA11</f>
        <v>0</v>
      </c>
      <c r="FB13" s="454">
        <f t="shared" si="36"/>
        <v>0</v>
      </c>
      <c r="FC13" s="777"/>
      <c r="FD13" s="1095"/>
      <c r="FE13" s="517">
        <f t="shared" ref="FE13:FE29" si="152">SUM(FF13:FI13)</f>
        <v>0</v>
      </c>
      <c r="FF13" s="430">
        <f>[1]Субсидия_факт!W11</f>
        <v>0</v>
      </c>
      <c r="FG13" s="931">
        <f>[1]Субсидия_факт!Y11</f>
        <v>0</v>
      </c>
      <c r="FH13" s="452">
        <f>[1]Субсидия_факт!AA11</f>
        <v>0</v>
      </c>
      <c r="FI13" s="686">
        <f>[1]Субсидия_факт!AC11</f>
        <v>0</v>
      </c>
      <c r="FJ13" s="516">
        <f t="shared" ref="FJ13:FJ29" si="153">SUM(FK13:FN13)</f>
        <v>0</v>
      </c>
      <c r="FK13" s="462"/>
      <c r="FL13" s="682"/>
      <c r="FM13" s="462"/>
      <c r="FN13" s="682"/>
      <c r="FO13" s="487">
        <f t="shared" si="37"/>
        <v>0</v>
      </c>
      <c r="FP13" s="511">
        <f>[1]Субсидия_факт!AY11</f>
        <v>0</v>
      </c>
      <c r="FQ13" s="890">
        <f>[1]Субсидия_факт!BA11</f>
        <v>0</v>
      </c>
      <c r="FR13" s="454">
        <f t="shared" si="38"/>
        <v>0</v>
      </c>
      <c r="FS13" s="777"/>
      <c r="FT13" s="673"/>
      <c r="FU13" s="524">
        <f t="shared" ref="FU13:FU29" si="154">SUM(FV13:FW13)</f>
        <v>0</v>
      </c>
      <c r="FV13" s="498">
        <f>[1]Субсидия_факт!EE11</f>
        <v>0</v>
      </c>
      <c r="FW13" s="686">
        <f>[1]Субсидия_факт!EG11</f>
        <v>0</v>
      </c>
      <c r="FX13" s="517">
        <f t="shared" ref="FX13:FX29" si="155">SUM(FY13:FZ13)</f>
        <v>0</v>
      </c>
      <c r="FY13" s="529"/>
      <c r="FZ13" s="704"/>
      <c r="GA13" s="559">
        <f t="shared" si="41"/>
        <v>0</v>
      </c>
      <c r="GB13" s="511">
        <f>[1]Субсидия_факт!DS11</f>
        <v>0</v>
      </c>
      <c r="GC13" s="890">
        <f>[1]Субсидия_факт!DY11</f>
        <v>0</v>
      </c>
      <c r="GD13" s="454">
        <f t="shared" si="42"/>
        <v>0</v>
      </c>
      <c r="GE13" s="719"/>
      <c r="GF13" s="673"/>
      <c r="GG13" s="454">
        <f t="shared" si="43"/>
        <v>2000000</v>
      </c>
      <c r="GH13" s="511">
        <f>[1]Субсидия_факт!DU11</f>
        <v>560002.74</v>
      </c>
      <c r="GI13" s="751">
        <f>[1]Субсидия_факт!EA11</f>
        <v>1439997.26</v>
      </c>
      <c r="GJ13" s="454">
        <f t="shared" si="44"/>
        <v>1157405.42</v>
      </c>
      <c r="GK13" s="610">
        <v>324075.09999999998</v>
      </c>
      <c r="GL13" s="706">
        <f>1157405.42-GK13</f>
        <v>833330.32</v>
      </c>
      <c r="GM13" s="659">
        <f t="shared" si="45"/>
        <v>2000000</v>
      </c>
      <c r="GN13" s="749">
        <f>'Проверочная  таблица'!GH13-'Проверочная  таблица'!GT13</f>
        <v>560002.74</v>
      </c>
      <c r="GO13" s="671">
        <f>'Проверочная  таблица'!GI13-'Проверочная  таблица'!GU13</f>
        <v>1439997.26</v>
      </c>
      <c r="GP13" s="653">
        <f t="shared" si="46"/>
        <v>1157405.42</v>
      </c>
      <c r="GQ13" s="756">
        <f>'Проверочная  таблица'!GK13-'Проверочная  таблица'!GW13</f>
        <v>324075.09999999998</v>
      </c>
      <c r="GR13" s="768">
        <f>'Проверочная  таблица'!GL13-'Проверочная  таблица'!GX13</f>
        <v>833330.32</v>
      </c>
      <c r="GS13" s="659">
        <f t="shared" si="47"/>
        <v>0</v>
      </c>
      <c r="GT13" s="511">
        <f>[1]Субсидия_факт!DW11</f>
        <v>0</v>
      </c>
      <c r="GU13" s="890">
        <f>[1]Субсидия_факт!EC11</f>
        <v>0</v>
      </c>
      <c r="GV13" s="659">
        <f t="shared" si="48"/>
        <v>0</v>
      </c>
      <c r="GW13" s="511"/>
      <c r="GX13" s="751"/>
      <c r="GY13" s="454">
        <f t="shared" si="49"/>
        <v>0</v>
      </c>
      <c r="GZ13" s="756">
        <f>[1]Субсидия_факт!AE11</f>
        <v>0</v>
      </c>
      <c r="HA13" s="671">
        <f>[1]Субсидия_факт!AG11</f>
        <v>0</v>
      </c>
      <c r="HB13" s="454">
        <f t="shared" si="50"/>
        <v>0</v>
      </c>
      <c r="HC13" s="756"/>
      <c r="HD13" s="671"/>
      <c r="HE13" s="747">
        <f t="shared" si="51"/>
        <v>128371.38</v>
      </c>
      <c r="HF13" s="756">
        <f>[1]Субсидия_факт!BW11</f>
        <v>0</v>
      </c>
      <c r="HG13" s="671">
        <f>[1]Субсидия_факт!CC11</f>
        <v>0</v>
      </c>
      <c r="HH13" s="511">
        <f>[1]Субсидия_факт!CU11</f>
        <v>115217.39</v>
      </c>
      <c r="HI13" s="890">
        <f>[1]Субсидия_факт!DA11</f>
        <v>13153.99</v>
      </c>
      <c r="HJ13" s="511">
        <f>[1]Субсидия_факт!DG11</f>
        <v>0</v>
      </c>
      <c r="HK13" s="890">
        <f>[1]Субсидия_факт!DM11</f>
        <v>0</v>
      </c>
      <c r="HL13" s="511">
        <f>[1]Субсидия_факт!EI11</f>
        <v>0</v>
      </c>
      <c r="HM13" s="751">
        <f>[1]Субсидия_факт!EO11</f>
        <v>0</v>
      </c>
      <c r="HN13" s="747">
        <f t="shared" si="52"/>
        <v>128371.38</v>
      </c>
      <c r="HO13" s="610"/>
      <c r="HP13" s="673"/>
      <c r="HQ13" s="756">
        <f t="shared" ref="HQ13:HQ29" si="156">HH13</f>
        <v>115217.39</v>
      </c>
      <c r="HR13" s="768">
        <f>HI13</f>
        <v>13153.99</v>
      </c>
      <c r="HS13" s="756">
        <f t="shared" ref="HS13:HS29" si="157">HJ13</f>
        <v>0</v>
      </c>
      <c r="HT13" s="1480">
        <f t="shared" ref="HT13:HT29" si="158">HK13</f>
        <v>0</v>
      </c>
      <c r="HU13" s="610"/>
      <c r="HV13" s="673"/>
      <c r="HW13" s="747">
        <f t="shared" si="53"/>
        <v>20583333.329999998</v>
      </c>
      <c r="HX13" s="756">
        <f>[1]Субсидия_факт!BY11</f>
        <v>5763733.3300000001</v>
      </c>
      <c r="HY13" s="671">
        <f>[1]Субсидия_факт!CE11</f>
        <v>14819600</v>
      </c>
      <c r="HZ13" s="511">
        <f>[1]Субсидия_факт!CW11</f>
        <v>0</v>
      </c>
      <c r="IA13" s="751">
        <f>[1]Субсидия_факт!DC11</f>
        <v>0</v>
      </c>
      <c r="IB13" s="511">
        <f>[1]Субсидия_факт!DI11</f>
        <v>0</v>
      </c>
      <c r="IC13" s="890">
        <f>[1]Субсидия_факт!DO11</f>
        <v>0</v>
      </c>
      <c r="ID13" s="511">
        <f>[1]Субсидия_факт!EK11</f>
        <v>0</v>
      </c>
      <c r="IE13" s="751">
        <f>[1]Субсидия_факт!EQ11</f>
        <v>0</v>
      </c>
      <c r="IF13" s="747">
        <f t="shared" si="54"/>
        <v>2150284.06</v>
      </c>
      <c r="IG13" s="610">
        <v>602121.31999999995</v>
      </c>
      <c r="IH13" s="673">
        <f>2150284.06-IG13</f>
        <v>1548162.7400000002</v>
      </c>
      <c r="II13" s="749">
        <f t="shared" ref="II13:II29" si="159">HZ13</f>
        <v>0</v>
      </c>
      <c r="IJ13" s="671">
        <f t="shared" ref="IJ13:IJ29" si="160">IA13</f>
        <v>0</v>
      </c>
      <c r="IK13" s="777"/>
      <c r="IL13" s="673"/>
      <c r="IM13" s="610"/>
      <c r="IN13" s="673"/>
      <c r="IO13" s="750">
        <f t="shared" si="55"/>
        <v>20583333.329999998</v>
      </c>
      <c r="IP13" s="756">
        <f>'Проверочная  таблица'!HX13-JH13</f>
        <v>5763733.3300000001</v>
      </c>
      <c r="IQ13" s="671">
        <f>'Проверочная  таблица'!HY13-JI13</f>
        <v>14819600</v>
      </c>
      <c r="IR13" s="756">
        <f>'Проверочная  таблица'!HZ13-JJ13</f>
        <v>0</v>
      </c>
      <c r="IS13" s="671">
        <f>'Проверочная  таблица'!IA13-JK13</f>
        <v>0</v>
      </c>
      <c r="IT13" s="749">
        <f>'Проверочная  таблица'!IB13-JL13</f>
        <v>0</v>
      </c>
      <c r="IU13" s="671">
        <f>'Проверочная  таблица'!IC13-JM13</f>
        <v>0</v>
      </c>
      <c r="IV13" s="756">
        <f>'Проверочная  таблица'!ID13-JN13</f>
        <v>0</v>
      </c>
      <c r="IW13" s="671">
        <f>'Проверочная  таблица'!IE13-JO13</f>
        <v>0</v>
      </c>
      <c r="IX13" s="750">
        <f t="shared" si="56"/>
        <v>2150284.06</v>
      </c>
      <c r="IY13" s="756">
        <f>'Проверочная  таблица'!IG13-JQ13</f>
        <v>602121.31999999995</v>
      </c>
      <c r="IZ13" s="810">
        <f>'Проверочная  таблица'!IH13-JR13</f>
        <v>1548162.7400000002</v>
      </c>
      <c r="JA13" s="756">
        <f>'Проверочная  таблица'!II13-JS13</f>
        <v>0</v>
      </c>
      <c r="JB13" s="768">
        <f>'Проверочная  таблица'!IJ13-JT13</f>
        <v>0</v>
      </c>
      <c r="JC13" s="756">
        <f>'Проверочная  таблица'!IK13-JU13</f>
        <v>0</v>
      </c>
      <c r="JD13" s="768">
        <f>'Проверочная  таблица'!IL13-JV13</f>
        <v>0</v>
      </c>
      <c r="JE13" s="756">
        <f>'Проверочная  таблица'!IM13-JW13</f>
        <v>0</v>
      </c>
      <c r="JF13" s="768">
        <f>'Проверочная  таблица'!IN13-JX13</f>
        <v>0</v>
      </c>
      <c r="JG13" s="659">
        <f t="shared" si="57"/>
        <v>0</v>
      </c>
      <c r="JH13" s="756">
        <f>[1]Субсидия_факт!CA11</f>
        <v>0</v>
      </c>
      <c r="JI13" s="671">
        <f>[1]Субсидия_факт!CG11</f>
        <v>0</v>
      </c>
      <c r="JJ13" s="511">
        <f>[1]Субсидия_факт!CY11</f>
        <v>0</v>
      </c>
      <c r="JK13" s="751">
        <f>[1]Субсидия_факт!DE11</f>
        <v>0</v>
      </c>
      <c r="JL13" s="511">
        <f>[1]Субсидия_факт!DK11</f>
        <v>0</v>
      </c>
      <c r="JM13" s="890">
        <f>[1]Субсидия_факт!DQ11</f>
        <v>0</v>
      </c>
      <c r="JN13" s="511">
        <f>[1]Субсидия_факт!EM11</f>
        <v>0</v>
      </c>
      <c r="JO13" s="751">
        <f>[1]Субсидия_факт!ES11</f>
        <v>0</v>
      </c>
      <c r="JP13" s="750">
        <f t="shared" si="58"/>
        <v>0</v>
      </c>
      <c r="JQ13" s="610"/>
      <c r="JR13" s="673"/>
      <c r="JS13" s="513"/>
      <c r="JT13" s="788"/>
      <c r="JU13" s="513"/>
      <c r="JV13" s="885"/>
      <c r="JW13" s="610"/>
      <c r="JX13" s="673"/>
      <c r="JY13" s="454">
        <f t="shared" ref="JY13:JY29" si="161">SUM(JZ13:KC13)</f>
        <v>0</v>
      </c>
      <c r="JZ13" s="511">
        <f>[1]Субсидия_факт!BC11</f>
        <v>0</v>
      </c>
      <c r="KA13" s="890">
        <f>[1]Субсидия_факт!BE11</f>
        <v>0</v>
      </c>
      <c r="KB13" s="511">
        <f>[1]Субсидия_факт!BG11</f>
        <v>0</v>
      </c>
      <c r="KC13" s="890">
        <f>[1]Субсидия_факт!BI11</f>
        <v>0</v>
      </c>
      <c r="KD13" s="454">
        <f t="shared" ref="KD13:KD29" si="162">SUM(KE13:KH13)</f>
        <v>0</v>
      </c>
      <c r="KE13" s="610"/>
      <c r="KF13" s="673"/>
      <c r="KG13" s="610"/>
      <c r="KH13" s="673"/>
      <c r="KI13" s="524">
        <f t="shared" si="59"/>
        <v>213516.06</v>
      </c>
      <c r="KJ13" s="511">
        <f>[1]Субсидия_факт!HO11</f>
        <v>213516.06</v>
      </c>
      <c r="KK13" s="523">
        <f>[1]Субсидия_факт!HQ11</f>
        <v>0</v>
      </c>
      <c r="KL13" s="686">
        <f>[1]Субсидия_факт!HS11</f>
        <v>0</v>
      </c>
      <c r="KM13" s="636">
        <f>[1]Субсидия_факт!IC11</f>
        <v>0</v>
      </c>
      <c r="KN13" s="686">
        <f>[1]Субсидия_факт!IE11</f>
        <v>0</v>
      </c>
      <c r="KO13" s="487">
        <f t="shared" ref="KO13:KO29" si="163">SUM(KP13:KT13)</f>
        <v>213516.06</v>
      </c>
      <c r="KP13" s="756">
        <f t="shared" ref="KP13:KP29" si="164">KJ13</f>
        <v>213516.06</v>
      </c>
      <c r="KQ13" s="333"/>
      <c r="KR13" s="682"/>
      <c r="KS13" s="462"/>
      <c r="KT13" s="682"/>
      <c r="KU13" s="454">
        <f t="shared" si="60"/>
        <v>0</v>
      </c>
      <c r="KV13" s="513">
        <f>[1]Субсидия_факт!HY11</f>
        <v>0</v>
      </c>
      <c r="KW13" s="513">
        <f>[1]Субсидия_факт!HU11</f>
        <v>0</v>
      </c>
      <c r="KX13" s="751">
        <f>[1]Субсидия_факт!HW11</f>
        <v>0</v>
      </c>
      <c r="KY13" s="454">
        <f t="shared" si="61"/>
        <v>0</v>
      </c>
      <c r="KZ13" s="756">
        <f t="shared" ref="KZ13:KZ29" si="165">KV13</f>
        <v>0</v>
      </c>
      <c r="LA13" s="610"/>
      <c r="LB13" s="673"/>
      <c r="LC13" s="886">
        <f t="shared" si="62"/>
        <v>0</v>
      </c>
      <c r="LD13" s="886">
        <f t="shared" si="63"/>
        <v>0</v>
      </c>
      <c r="LE13" s="657">
        <f t="shared" si="64"/>
        <v>0</v>
      </c>
      <c r="LF13" s="1038">
        <f t="shared" si="65"/>
        <v>0</v>
      </c>
      <c r="LG13" s="753">
        <f t="shared" ref="LG13:LG29" si="166">SUM(LH13:LM13)</f>
        <v>0</v>
      </c>
      <c r="LH13" s="511">
        <f>[1]Субсидия_факт!OG11</f>
        <v>0</v>
      </c>
      <c r="LI13" s="890">
        <f>[1]Субсидия_факт!OM11</f>
        <v>0</v>
      </c>
      <c r="LJ13" s="511">
        <f>[1]Субсидия_факт!OS11</f>
        <v>0</v>
      </c>
      <c r="LK13" s="890">
        <f>[1]Субсидия_факт!OY11</f>
        <v>0</v>
      </c>
      <c r="LL13" s="756">
        <f>[1]Субсидия_факт!PE11</f>
        <v>0</v>
      </c>
      <c r="LM13" s="768">
        <f>[1]Субсидия_факт!PI11</f>
        <v>0</v>
      </c>
      <c r="LN13" s="753">
        <f t="shared" si="66"/>
        <v>0</v>
      </c>
      <c r="LO13" s="777"/>
      <c r="LP13" s="673"/>
      <c r="LQ13" s="610"/>
      <c r="LR13" s="776"/>
      <c r="LS13" s="610"/>
      <c r="LT13" s="776"/>
      <c r="LU13" s="753">
        <f t="shared" si="67"/>
        <v>16496105.26</v>
      </c>
      <c r="LV13" s="511">
        <f>[1]Субсидия_факт!OI11</f>
        <v>424805.26</v>
      </c>
      <c r="LW13" s="890">
        <f>[1]Субсидия_факт!OO11</f>
        <v>8071300</v>
      </c>
      <c r="LX13" s="513">
        <f>[1]Субсидия_факт!OU11</f>
        <v>400000</v>
      </c>
      <c r="LY13" s="751">
        <f>[1]Субсидия_факт!PA11</f>
        <v>7600000</v>
      </c>
      <c r="LZ13" s="754">
        <f t="shared" si="68"/>
        <v>15609460.26</v>
      </c>
      <c r="MA13" s="610">
        <v>380473.01</v>
      </c>
      <c r="MB13" s="776">
        <f>7609460.26-MA13</f>
        <v>7228987.25</v>
      </c>
      <c r="MC13" s="610">
        <v>400000</v>
      </c>
      <c r="MD13" s="673">
        <f>8000000-MC13</f>
        <v>7600000</v>
      </c>
      <c r="ME13" s="652">
        <f t="shared" si="69"/>
        <v>0</v>
      </c>
      <c r="MF13" s="642">
        <f>'Проверочная  таблица'!LV13-MP13</f>
        <v>0</v>
      </c>
      <c r="MG13" s="678">
        <f>'Проверочная  таблица'!LW13-MQ13</f>
        <v>0</v>
      </c>
      <c r="MH13" s="765">
        <f>'Проверочная  таблица'!LY13-MR13</f>
        <v>0</v>
      </c>
      <c r="MI13" s="607">
        <f>'Проверочная  таблица'!LX13-MS13</f>
        <v>0</v>
      </c>
      <c r="MJ13" s="755">
        <f t="shared" si="70"/>
        <v>0</v>
      </c>
      <c r="MK13" s="749">
        <f>'Проверочная  таблица'!MA13-MU13</f>
        <v>0</v>
      </c>
      <c r="ML13" s="671">
        <f>'Проверочная  таблица'!MB13-MV13</f>
        <v>0</v>
      </c>
      <c r="MM13" s="768">
        <f>'Проверочная  таблица'!MD13-MW13</f>
        <v>0</v>
      </c>
      <c r="MN13" s="756">
        <f>'Проверочная  таблица'!MC13-MX13</f>
        <v>0</v>
      </c>
      <c r="MO13" s="779">
        <f t="shared" si="71"/>
        <v>16496105.26</v>
      </c>
      <c r="MP13" s="511">
        <f>[1]Субсидия_факт!OK11</f>
        <v>424805.26</v>
      </c>
      <c r="MQ13" s="890">
        <f>[1]Субсидия_факт!OQ11</f>
        <v>8071300</v>
      </c>
      <c r="MR13" s="890">
        <f>[1]Субсидия_факт!PC11</f>
        <v>7600000</v>
      </c>
      <c r="MS13" s="511">
        <f>[1]Субсидия_факт!OW11</f>
        <v>400000</v>
      </c>
      <c r="MT13" s="755">
        <f t="shared" si="72"/>
        <v>15609460.26</v>
      </c>
      <c r="MU13" s="749">
        <f t="shared" ref="MU13:MU29" si="167">MA13</f>
        <v>380473.01</v>
      </c>
      <c r="MV13" s="671">
        <f t="shared" ref="MV13:MV29" si="168">MB13</f>
        <v>7228987.25</v>
      </c>
      <c r="MW13" s="768">
        <f t="shared" ref="MW13:MW29" si="169">MD13</f>
        <v>7600000</v>
      </c>
      <c r="MX13" s="756">
        <f t="shared" si="73"/>
        <v>400000</v>
      </c>
      <c r="MY13" s="524">
        <f>SUM('Проверочная  таблица'!MZ13:MZ13)</f>
        <v>0</v>
      </c>
      <c r="MZ13" s="333"/>
      <c r="NA13" s="524">
        <f>SUM('Проверочная  таблица'!NB13:NB13)</f>
        <v>0</v>
      </c>
      <c r="NB13" s="462"/>
      <c r="NC13" s="524">
        <f t="shared" si="74"/>
        <v>0</v>
      </c>
      <c r="ND13" s="452">
        <f>[1]Субсидия_факт!IU11</f>
        <v>0</v>
      </c>
      <c r="NE13" s="686">
        <f>[1]Субсидия_факт!IY11</f>
        <v>0</v>
      </c>
      <c r="NF13" s="517">
        <f t="shared" si="75"/>
        <v>0</v>
      </c>
      <c r="NG13" s="529"/>
      <c r="NH13" s="774"/>
      <c r="NI13" s="570">
        <f t="shared" si="76"/>
        <v>0</v>
      </c>
      <c r="NJ13" s="1000">
        <f>'Проверочная  таблица'!ND13-NP13</f>
        <v>0</v>
      </c>
      <c r="NK13" s="678">
        <f>'Проверочная  таблица'!NE13-NQ13</f>
        <v>0</v>
      </c>
      <c r="NL13" s="570">
        <f t="shared" si="77"/>
        <v>0</v>
      </c>
      <c r="NM13" s="476">
        <f>'Проверочная  таблица'!NG13-NS13</f>
        <v>0</v>
      </c>
      <c r="NN13" s="678">
        <f>'Проверочная  таблица'!NH13-NT13</f>
        <v>0</v>
      </c>
      <c r="NO13" s="633">
        <f t="shared" si="78"/>
        <v>0</v>
      </c>
      <c r="NP13" s="452">
        <f>[1]Субсидия_факт!IW11</f>
        <v>0</v>
      </c>
      <c r="NQ13" s="686">
        <f>[1]Субсидия_факт!JA11</f>
        <v>0</v>
      </c>
      <c r="NR13" s="570">
        <f t="shared" si="79"/>
        <v>0</v>
      </c>
      <c r="NS13" s="476"/>
      <c r="NT13" s="710"/>
      <c r="NU13" s="517">
        <f t="shared" ref="NU13:NU29" si="170">SUM(NV13:NW13)</f>
        <v>0</v>
      </c>
      <c r="NV13" s="332">
        <f>[1]Субсидия_факт!FA11</f>
        <v>0</v>
      </c>
      <c r="NW13" s="786">
        <f>[1]Субсидия_факт!FC11</f>
        <v>0</v>
      </c>
      <c r="NX13" s="517">
        <f t="shared" ref="NX13:NX29" si="171">SUM(NY13:NZ13)</f>
        <v>0</v>
      </c>
      <c r="NY13" s="462"/>
      <c r="NZ13" s="682"/>
      <c r="OA13" s="517">
        <f t="shared" ref="OA13:OA29" si="172">SUM(OB13:OC13)</f>
        <v>0</v>
      </c>
      <c r="OD13" s="517">
        <f t="shared" ref="OD13:OD29" si="173">SUM(OE13:OF13)</f>
        <v>0</v>
      </c>
      <c r="OG13" s="526">
        <f t="shared" ref="OG13:OG29" si="174">SUM(OH13:OI13)</f>
        <v>0</v>
      </c>
      <c r="OJ13" s="526">
        <f t="shared" ref="OJ13:OJ29" si="175">SUM(OK13:OL13)</f>
        <v>0</v>
      </c>
      <c r="OM13" s="526">
        <f t="shared" ref="OM13:OM29" si="176">SUM(ON13:OO13)</f>
        <v>0</v>
      </c>
      <c r="OP13" s="526">
        <f t="shared" ref="OP13:OP29" si="177">SUM(OQ13:OR13)</f>
        <v>0</v>
      </c>
      <c r="OS13" s="524">
        <f t="shared" si="80"/>
        <v>0</v>
      </c>
      <c r="OT13" s="498">
        <f>[1]Субсидия_факт!JO11</f>
        <v>0</v>
      </c>
      <c r="OU13" s="786">
        <f>[1]Субсидия_факт!JQ11</f>
        <v>0</v>
      </c>
      <c r="OV13" s="332">
        <f>[1]Субсидия_факт!KS11</f>
        <v>0</v>
      </c>
      <c r="OW13" s="686">
        <f>[1]Субсидия_факт!KY11</f>
        <v>0</v>
      </c>
      <c r="OX13" s="498">
        <f>[1]Субсидия_факт!KG11</f>
        <v>0</v>
      </c>
      <c r="OY13" s="786">
        <f>[1]Субсидия_факт!KM11</f>
        <v>0</v>
      </c>
      <c r="OZ13" s="517">
        <f t="shared" si="81"/>
        <v>0</v>
      </c>
      <c r="PA13" s="462"/>
      <c r="PB13" s="682"/>
      <c r="PC13" s="333"/>
      <c r="PD13" s="704"/>
      <c r="PE13" s="462"/>
      <c r="PF13" s="794"/>
      <c r="PG13" s="524">
        <f t="shared" si="82"/>
        <v>0</v>
      </c>
      <c r="PH13" s="498">
        <f>[1]Субсидия_факт!JC11</f>
        <v>0</v>
      </c>
      <c r="PI13" s="931">
        <f>[1]Субсидия_факт!JG11</f>
        <v>0</v>
      </c>
      <c r="PJ13" s="476">
        <f>[1]Субсидия_факт!JS11</f>
        <v>0</v>
      </c>
      <c r="PK13" s="678">
        <f>[1]Субсидия_факт!JW11</f>
        <v>0</v>
      </c>
      <c r="PL13" s="498">
        <f>[1]Субсидия_факт!KU11</f>
        <v>0</v>
      </c>
      <c r="PM13" s="791">
        <f>[1]Субсидия_факт!LA11</f>
        <v>0</v>
      </c>
      <c r="PN13" s="498">
        <f>[1]Субсидия_факт!KI11</f>
        <v>0</v>
      </c>
      <c r="PO13" s="686">
        <f>[1]Субсидия_факт!KO11</f>
        <v>0</v>
      </c>
      <c r="PP13" s="517">
        <f t="shared" si="83"/>
        <v>0</v>
      </c>
      <c r="PQ13" s="529"/>
      <c r="PR13" s="771"/>
      <c r="PS13" s="462"/>
      <c r="PT13" s="682"/>
      <c r="PU13" s="529"/>
      <c r="PV13" s="774"/>
      <c r="PW13" s="529"/>
      <c r="PX13" s="682"/>
      <c r="PY13" s="570">
        <f t="shared" si="84"/>
        <v>0</v>
      </c>
      <c r="PZ13" s="452">
        <f t="shared" si="85"/>
        <v>0</v>
      </c>
      <c r="QA13" s="686">
        <f t="shared" si="86"/>
        <v>0</v>
      </c>
      <c r="QB13" s="430">
        <f t="shared" si="87"/>
        <v>0</v>
      </c>
      <c r="QC13" s="686">
        <f t="shared" si="88"/>
        <v>0</v>
      </c>
      <c r="QD13" s="332">
        <f t="shared" si="89"/>
        <v>0</v>
      </c>
      <c r="QE13" s="686">
        <f t="shared" si="90"/>
        <v>0</v>
      </c>
      <c r="QF13" s="430">
        <f t="shared" si="91"/>
        <v>0</v>
      </c>
      <c r="QG13" s="686">
        <f t="shared" si="92"/>
        <v>0</v>
      </c>
      <c r="QH13" s="633">
        <f t="shared" si="93"/>
        <v>0</v>
      </c>
      <c r="QI13" s="452">
        <f t="shared" si="94"/>
        <v>0</v>
      </c>
      <c r="QJ13" s="686">
        <f t="shared" si="95"/>
        <v>0</v>
      </c>
      <c r="QK13" s="430">
        <f t="shared" si="96"/>
        <v>0</v>
      </c>
      <c r="QL13" s="686">
        <f t="shared" si="97"/>
        <v>0</v>
      </c>
      <c r="QM13" s="332">
        <f t="shared" si="98"/>
        <v>0</v>
      </c>
      <c r="QN13" s="786">
        <f t="shared" si="99"/>
        <v>0</v>
      </c>
      <c r="QO13" s="332">
        <f t="shared" si="100"/>
        <v>0</v>
      </c>
      <c r="QP13" s="686">
        <f t="shared" si="101"/>
        <v>0</v>
      </c>
      <c r="QQ13" s="570">
        <f t="shared" si="102"/>
        <v>0</v>
      </c>
      <c r="QR13" s="430">
        <f>[1]Субсидия_факт!JE11</f>
        <v>0</v>
      </c>
      <c r="QS13" s="931">
        <f>[1]Субсидия_факт!JI11</f>
        <v>0</v>
      </c>
      <c r="QT13" s="607">
        <f>[1]Субсидия_факт!JU11</f>
        <v>0</v>
      </c>
      <c r="QU13" s="678">
        <f>[1]Субсидия_факт!JY11</f>
        <v>0</v>
      </c>
      <c r="QV13" s="332">
        <f>[1]Субсидия_факт!KW11</f>
        <v>0</v>
      </c>
      <c r="QW13" s="791">
        <f>[1]Субсидия_факт!LC11</f>
        <v>0</v>
      </c>
      <c r="QX13" s="332">
        <f>[1]Субсидия_факт!KK11</f>
        <v>0</v>
      </c>
      <c r="QY13" s="686">
        <f>[1]Субсидия_факт!KQ11</f>
        <v>0</v>
      </c>
      <c r="QZ13" s="570">
        <f t="shared" si="103"/>
        <v>0</v>
      </c>
      <c r="RA13" s="530"/>
      <c r="RB13" s="678"/>
      <c r="RC13" s="462"/>
      <c r="RD13" s="682"/>
      <c r="RE13" s="530"/>
      <c r="RF13" s="794"/>
      <c r="RG13" s="529"/>
      <c r="RH13" s="765"/>
      <c r="RI13" s="487">
        <f>[1]Субсидия_факт!PW11</f>
        <v>0</v>
      </c>
      <c r="RJ13" s="1240">
        <f t="shared" ref="RJ13:RJ29" si="178">RI13</f>
        <v>0</v>
      </c>
      <c r="RK13" s="522">
        <f>'Прочая  субсидия_МР  и  ГО'!B9</f>
        <v>19958756.09</v>
      </c>
      <c r="RL13" s="517">
        <f>'Прочая  субсидия_МР  и  ГО'!C9</f>
        <v>19664996.09</v>
      </c>
      <c r="RM13" s="522">
        <f>'Прочая  субсидия_БП'!B9</f>
        <v>74620870.810000002</v>
      </c>
      <c r="RN13" s="524">
        <f>'Прочая  субсидия_БП'!C9</f>
        <v>59430665.239999995</v>
      </c>
      <c r="RO13" s="565">
        <f>'Прочая  субсидия_БП'!D9</f>
        <v>23639928.490000002</v>
      </c>
      <c r="RP13" s="564">
        <f>'Прочая  субсидия_БП'!E9</f>
        <v>12954033.92</v>
      </c>
      <c r="RQ13" s="571">
        <f>'Прочая  субсидия_БП'!F9</f>
        <v>50980942.32</v>
      </c>
      <c r="RR13" s="564">
        <f>'Прочая  субсидия_БП'!G9</f>
        <v>46476631.32</v>
      </c>
      <c r="RS13" s="487">
        <f t="shared" si="104"/>
        <v>599279065</v>
      </c>
      <c r="RT13" s="452">
        <f>'Проверочная  таблица'!SR13+'Проверочная  таблица'!RY13+'Проверочная  таблица'!SA13+'Проверочная  таблица'!SC13</f>
        <v>590667720</v>
      </c>
      <c r="RU13" s="332">
        <f>'Проверочная  таблица'!SS13+'Проверочная  таблица'!SE13+'Проверочная  таблица'!SK13+'Проверочная  таблица'!SG13+'Проверочная  таблица'!SO13+'Проверочная  таблица'!SI13+SM13</f>
        <v>8611345</v>
      </c>
      <c r="RV13" s="517">
        <f t="shared" si="105"/>
        <v>453223277.81999999</v>
      </c>
      <c r="RW13" s="430">
        <f>'Проверочная  таблица'!SU13+'Проверочная  таблица'!RZ13+'Проверочная  таблица'!SB13+'Проверочная  таблица'!SD13</f>
        <v>448775075</v>
      </c>
      <c r="RX13" s="332">
        <f>'Проверочная  таблица'!SV13+'Проверочная  таблица'!SF13+'Проверочная  таблица'!SL13+'Проверочная  таблица'!SH13+'Проверочная  таблица'!SP13+'Проверочная  таблица'!SJ13+SN13</f>
        <v>4448202.82</v>
      </c>
      <c r="RY13" s="559">
        <f>'Субвенция  на  полномочия'!B9</f>
        <v>564259720</v>
      </c>
      <c r="RZ13" s="454">
        <f>'Субвенция  на  полномочия'!C9</f>
        <v>428548075</v>
      </c>
      <c r="SA13" s="732">
        <f>[1]Субвенция_факт!P10*1000</f>
        <v>19963000</v>
      </c>
      <c r="SB13" s="1389">
        <v>15000000</v>
      </c>
      <c r="SC13" s="732">
        <f>[1]Субвенция_факт!K10*1000</f>
        <v>4818000</v>
      </c>
      <c r="SD13" s="1389">
        <v>3600000</v>
      </c>
      <c r="SE13" s="732">
        <f>[1]Субвенция_факт!AD10*1000</f>
        <v>1954800</v>
      </c>
      <c r="SF13" s="735">
        <v>1273780.3700000001</v>
      </c>
      <c r="SG13" s="732">
        <f>[1]Субвенция_факт!AE10*1000</f>
        <v>0</v>
      </c>
      <c r="SH13" s="735"/>
      <c r="SI13" s="732">
        <f>[1]Субвенция_факт!E10*1000</f>
        <v>2506545</v>
      </c>
      <c r="SJ13" s="735"/>
      <c r="SK13" s="732">
        <f>[1]Субвенция_факт!F10*1000</f>
        <v>0</v>
      </c>
      <c r="SL13" s="866"/>
      <c r="SM13" s="163">
        <f>[1]Субвенция_факт!G10*1000</f>
        <v>0</v>
      </c>
      <c r="SN13" s="867"/>
      <c r="SO13" s="732">
        <f>[1]Субвенция_факт!H10*1000</f>
        <v>0</v>
      </c>
      <c r="SP13" s="735"/>
      <c r="SQ13" s="524">
        <f t="shared" si="106"/>
        <v>5777000</v>
      </c>
      <c r="SR13" s="865">
        <f>[1]Субвенция_факт!AC10*1000</f>
        <v>1627000</v>
      </c>
      <c r="SS13" s="1040">
        <f>[1]Субвенция_факт!AB10*1000</f>
        <v>4150000</v>
      </c>
      <c r="ST13" s="517">
        <f t="shared" si="107"/>
        <v>4801422.45</v>
      </c>
      <c r="SU13" s="1503">
        <v>1627000</v>
      </c>
      <c r="SV13" s="1506">
        <v>3174422.45</v>
      </c>
      <c r="SW13" s="271">
        <f>'Проверочная  таблица'!VC13+'Проверочная  таблица'!UY13+'Проверочная  таблица'!TQ13+'Проверочная  таблица'!TU13+SY13+'Проверочная  таблица'!US13+UC13+UI13</f>
        <v>20000000</v>
      </c>
      <c r="SX13" s="163">
        <f>'Проверочная  таблица'!VE13+'Проверочная  таблица'!VA13+'Проверочная  таблица'!TS13+'Проверочная  таблица'!TW13+TH13+'Проверочная  таблица'!UV13+UF13+UL13</f>
        <v>20000000</v>
      </c>
      <c r="SY13" s="1129">
        <f t="shared" si="108"/>
        <v>0</v>
      </c>
      <c r="SZ13" s="1114">
        <f>'[1]Иные межбюджетные трансферты'!O11</f>
        <v>0</v>
      </c>
      <c r="TA13" s="1111">
        <f>'[1]Иные межбюджетные трансферты'!Q11</f>
        <v>0</v>
      </c>
      <c r="TB13" s="879">
        <f>'[1]Иные межбюджетные трансферты'!I11</f>
        <v>0</v>
      </c>
      <c r="TC13" s="1111">
        <f>'[1]Иные межбюджетные трансферты'!K11</f>
        <v>0</v>
      </c>
      <c r="TD13" s="879">
        <f>'[1]Иные межбюджетные трансферты'!S11</f>
        <v>0</v>
      </c>
      <c r="TE13" s="958">
        <f>'[1]Иные межбюджетные трансферты'!U11</f>
        <v>0</v>
      </c>
      <c r="TF13" s="1236">
        <f>'[1]Иные межбюджетные трансферты'!M11</f>
        <v>0</v>
      </c>
      <c r="TG13" s="1231">
        <f>'[1]Иные межбюджетные трансферты'!W11</f>
        <v>0</v>
      </c>
      <c r="TH13" s="991">
        <f t="shared" si="109"/>
        <v>0</v>
      </c>
      <c r="TI13" s="984"/>
      <c r="TJ13" s="982"/>
      <c r="TK13" s="879"/>
      <c r="TL13" s="958"/>
      <c r="TM13" s="879"/>
      <c r="TN13" s="958"/>
      <c r="TO13" s="984"/>
      <c r="TP13" s="1269"/>
      <c r="TQ13" s="973">
        <f t="shared" ref="TQ13:TS29" si="179">TR13</f>
        <v>0</v>
      </c>
      <c r="TR13" s="1458">
        <f>'[1]Иные межбюджетные трансферты'!Y11</f>
        <v>0</v>
      </c>
      <c r="TS13" s="973">
        <f t="shared" si="179"/>
        <v>0</v>
      </c>
      <c r="TT13" s="958"/>
      <c r="TU13" s="973">
        <f t="shared" ref="TU13" si="180">TV13</f>
        <v>0</v>
      </c>
      <c r="TV13" s="958">
        <f>'[1]Иные межбюджетные трансферты'!AA11</f>
        <v>0</v>
      </c>
      <c r="TW13" s="973">
        <f t="shared" si="110"/>
        <v>0</v>
      </c>
      <c r="TX13" s="1111"/>
      <c r="TY13" s="976">
        <f t="shared" si="111"/>
        <v>0</v>
      </c>
      <c r="TZ13" s="970">
        <f t="shared" si="112"/>
        <v>0</v>
      </c>
      <c r="UA13" s="1266">
        <f t="shared" ref="UA13:UA29" si="181">TU13</f>
        <v>0</v>
      </c>
      <c r="UB13" s="976">
        <f t="shared" ref="UB13:UB29" si="182">TW13</f>
        <v>0</v>
      </c>
      <c r="UC13" s="973">
        <f t="shared" si="113"/>
        <v>0</v>
      </c>
      <c r="UD13" s="1272">
        <f>'[1]Иные межбюджетные трансферты'!AE11</f>
        <v>0</v>
      </c>
      <c r="UE13" s="1145">
        <f>'[1]Иные межбюджетные трансферты'!AK11</f>
        <v>0</v>
      </c>
      <c r="UF13" s="973">
        <f t="shared" si="114"/>
        <v>0</v>
      </c>
      <c r="UG13" s="958"/>
      <c r="UH13" s="958"/>
      <c r="UI13" s="973">
        <f t="shared" si="115"/>
        <v>20000000</v>
      </c>
      <c r="UJ13" s="1272">
        <f>'[1]Иные межбюджетные трансферты'!AG11</f>
        <v>0</v>
      </c>
      <c r="UK13" s="1145">
        <f>'[1]Иные межбюджетные трансферты'!AM11</f>
        <v>20000000</v>
      </c>
      <c r="UL13" s="973">
        <f t="shared" si="116"/>
        <v>20000000</v>
      </c>
      <c r="UM13" s="958"/>
      <c r="UN13" s="1460">
        <v>20000000</v>
      </c>
      <c r="UO13" s="976">
        <f t="shared" ref="UO13:UO29" si="183">UI13-UQ13</f>
        <v>0</v>
      </c>
      <c r="UP13" s="970">
        <f t="shared" ref="UP13:UP29" si="184">UL13-UR13</f>
        <v>0</v>
      </c>
      <c r="UQ13" s="970">
        <f t="shared" ref="UQ13:UQ29" si="185">UI13</f>
        <v>20000000</v>
      </c>
      <c r="UR13" s="1462">
        <f t="shared" ref="UR13:UR29" si="186">UL13</f>
        <v>20000000</v>
      </c>
      <c r="US13" s="1263">
        <f t="shared" si="117"/>
        <v>0</v>
      </c>
      <c r="UT13" s="1040">
        <f>'[1]Иные межбюджетные трансферты'!E11</f>
        <v>0</v>
      </c>
      <c r="UU13" s="1126">
        <f>'[1]Иные межбюджетные трансферты'!G11</f>
        <v>0</v>
      </c>
      <c r="UV13" s="733">
        <f t="shared" si="118"/>
        <v>0</v>
      </c>
      <c r="UW13" s="1040"/>
      <c r="UX13" s="1126"/>
      <c r="UY13" s="880">
        <f t="shared" si="119"/>
        <v>0</v>
      </c>
      <c r="UZ13" s="958"/>
      <c r="VA13" s="1039">
        <f t="shared" si="120"/>
        <v>0</v>
      </c>
      <c r="VB13" s="890"/>
      <c r="VC13" s="510">
        <f t="shared" si="121"/>
        <v>0</v>
      </c>
      <c r="VD13" s="874">
        <f>'[1]Иные межбюджетные трансферты'!AS11</f>
        <v>0</v>
      </c>
      <c r="VE13" s="510">
        <f t="shared" si="122"/>
        <v>0</v>
      </c>
      <c r="VF13" s="513"/>
      <c r="VG13" s="886">
        <f t="shared" si="123"/>
        <v>0</v>
      </c>
      <c r="VH13" s="511">
        <f>'Проверочная  таблица'!VD13-VL13</f>
        <v>0</v>
      </c>
      <c r="VI13" s="886">
        <f t="shared" si="124"/>
        <v>0</v>
      </c>
      <c r="VJ13" s="511">
        <f>'Проверочная  таблица'!VF13-VN13</f>
        <v>0</v>
      </c>
      <c r="VK13" s="886">
        <f t="shared" si="125"/>
        <v>0</v>
      </c>
      <c r="VL13" s="874">
        <f>'[1]Иные межбюджетные трансферты'!AU11</f>
        <v>0</v>
      </c>
      <c r="VM13" s="1038">
        <f t="shared" si="126"/>
        <v>0</v>
      </c>
      <c r="VN13" s="513"/>
      <c r="VO13" s="517">
        <f>VQ13+'Проверочная  таблица'!VY13+VU13+'Проверочная  таблица'!WC13+VW13+'Проверочная  таблица'!WE13</f>
        <v>-19750000</v>
      </c>
      <c r="VP13" s="517">
        <f>VR13+'Проверочная  таблица'!VZ13+VV13+'Проверочная  таблица'!WD13+VX13+'Проверочная  таблица'!WF13</f>
        <v>-11250000</v>
      </c>
      <c r="VQ13" s="531"/>
      <c r="VR13" s="531"/>
      <c r="VS13" s="531">
        <v>250000</v>
      </c>
      <c r="VT13" s="531">
        <v>250000</v>
      </c>
      <c r="VU13" s="528">
        <f t="shared" si="127"/>
        <v>250000</v>
      </c>
      <c r="VV13" s="526">
        <f t="shared" si="128"/>
        <v>250000</v>
      </c>
      <c r="VW13" s="532"/>
      <c r="VX13" s="521"/>
      <c r="VY13" s="531">
        <v>-8500000</v>
      </c>
      <c r="VZ13" s="531">
        <v>0</v>
      </c>
      <c r="WA13" s="531">
        <v>-11500000</v>
      </c>
      <c r="WB13" s="531">
        <v>-11500000</v>
      </c>
      <c r="WC13" s="528">
        <f t="shared" si="129"/>
        <v>0</v>
      </c>
      <c r="WD13" s="526">
        <f t="shared" si="130"/>
        <v>0</v>
      </c>
      <c r="WE13" s="521">
        <v>-11500000</v>
      </c>
      <c r="WF13" s="521">
        <v>-11500000</v>
      </c>
      <c r="WG13" s="1356">
        <f>'Проверочная  таблица'!VY13+'Проверочная  таблица'!WA13</f>
        <v>-20000000</v>
      </c>
      <c r="WH13" s="1356">
        <f>'Проверочная  таблица'!VZ13+'Проверочная  таблица'!WB13</f>
        <v>-11500000</v>
      </c>
      <c r="WI13" s="1481"/>
    </row>
    <row r="14" spans="1:607" s="329" customFormat="1" ht="25.5" customHeight="1" x14ac:dyDescent="0.3">
      <c r="A14" s="339" t="s">
        <v>90</v>
      </c>
      <c r="B14" s="524">
        <f>D14+AI14+'Проверочная  таблица'!RS14+'Проверочная  таблица'!SW14</f>
        <v>708708735.04999995</v>
      </c>
      <c r="C14" s="517">
        <f>E14+'Проверочная  таблица'!RV14+AJ14+'Проверочная  таблица'!SX14</f>
        <v>522738288.76999998</v>
      </c>
      <c r="D14" s="522">
        <f t="shared" si="0"/>
        <v>110170707</v>
      </c>
      <c r="E14" s="524">
        <f t="shared" si="1"/>
        <v>78741750</v>
      </c>
      <c r="F14" s="1062">
        <f>'[1]Дотация  из  ОБ_факт'!I10+'[1]Дотация  из  ОБ_факт'!Q10</f>
        <v>31399900</v>
      </c>
      <c r="G14" s="1366">
        <v>27490250</v>
      </c>
      <c r="H14" s="563">
        <f>'[1]Дотация  из  ОБ_факт'!K10</f>
        <v>16379700</v>
      </c>
      <c r="I14" s="1366">
        <v>12235500</v>
      </c>
      <c r="J14" s="564">
        <f t="shared" si="2"/>
        <v>10918900</v>
      </c>
      <c r="K14" s="571">
        <f t="shared" si="3"/>
        <v>8180500</v>
      </c>
      <c r="L14" s="883">
        <f>'[1]Дотация  из  ОБ_факт'!O10</f>
        <v>5460800</v>
      </c>
      <c r="M14" s="1364">
        <v>4055000</v>
      </c>
      <c r="N14" s="563">
        <f>'[1]Дотация  из  ОБ_факт'!U10</f>
        <v>10090307</v>
      </c>
      <c r="O14" s="1366">
        <v>6350000</v>
      </c>
      <c r="P14" s="784">
        <f>'[1]Дотация  из  ОБ_факт'!W10</f>
        <v>49300800</v>
      </c>
      <c r="Q14" s="1366">
        <v>29666000</v>
      </c>
      <c r="R14" s="571">
        <f t="shared" si="4"/>
        <v>28556700</v>
      </c>
      <c r="S14" s="564">
        <f t="shared" si="5"/>
        <v>20904000</v>
      </c>
      <c r="T14" s="1059">
        <f>'[1]Дотация  из  ОБ_факт'!AA10</f>
        <v>20744100</v>
      </c>
      <c r="U14" s="1366">
        <v>8762000</v>
      </c>
      <c r="V14" s="784">
        <f>'[1]Дотация  из  ОБ_факт'!AE10+'[1]Дотация  из  ОБ_факт'!AG10+'[1]Дотация  из  ОБ_факт'!AK10</f>
        <v>1800000</v>
      </c>
      <c r="W14" s="163">
        <f t="shared" si="6"/>
        <v>1800000</v>
      </c>
      <c r="X14" s="1364">
        <v>1800000</v>
      </c>
      <c r="Y14" s="566"/>
      <c r="Z14" s="567"/>
      <c r="AA14" s="563">
        <f>'[1]Дотация  из  ОБ_факт'!AC10+'[1]Дотация  из  ОБ_факт'!AI10</f>
        <v>1200000</v>
      </c>
      <c r="AB14" s="165">
        <f t="shared" si="7"/>
        <v>1200000</v>
      </c>
      <c r="AC14" s="566"/>
      <c r="AD14" s="1364">
        <v>1200000</v>
      </c>
      <c r="AE14" s="564">
        <f t="shared" si="8"/>
        <v>0</v>
      </c>
      <c r="AF14" s="571">
        <f t="shared" si="9"/>
        <v>0</v>
      </c>
      <c r="AG14" s="565">
        <f>'[1]Дотация  из  ОБ_факт'!AI10</f>
        <v>1200000</v>
      </c>
      <c r="AH14" s="1370">
        <f t="shared" si="131"/>
        <v>1200000</v>
      </c>
      <c r="AI14" s="559">
        <f>'Проверочная  таблица'!KI14+NU14+OA14+'Проверочная  таблица'!RK14+'Проверочная  таблица'!RM14+DE14+DG14+DM14+DO14+'Проверочная  таблица'!MY14+'Проверочная  таблица'!NC14+CG14+CQ14+'Проверочная  таблица'!HE14+'Проверочная  таблица'!HW14+'Проверочная  таблица'!ES14+'Проверочная  таблица'!JY14+DU14+'Проверочная  таблица'!GA14+'Проверочная  таблица'!GG14+'Проверочная  таблица'!LG14+'Проверочная  таблица'!LU14+FU14+'Проверочная  таблица'!KU14+RI14+OS14+PG14+EK14+AK14+AW14+FO14+FE14+GY14+EY14</f>
        <v>250610089.05000001</v>
      </c>
      <c r="AJ14" s="487">
        <f>'Проверочная  таблица'!KO14+NX14+OD14+'Проверочная  таблица'!RL14+'Проверочная  таблица'!RN14+DF14+DH14+DN14+DP14+'Проверочная  таблица'!NA14+'Проверочная  таблица'!NF14+CL14+CV14+'Проверочная  таблица'!HN14+'Проверочная  таблица'!IF14+'Проверочная  таблица'!EV14+'Проверочная  таблица'!KD14+EC14+'Проверочная  таблица'!GD14+'Проверочная  таблица'!GJ14+'Проверочная  таблица'!LN14+'Проверочная  таблица'!LZ14+FX14+'Проверочная  таблица'!KY14+FR14+RJ14+PP14+OZ14+EM14+AQ14+BC14+FJ14+HB14+FB14</f>
        <v>172719140.56</v>
      </c>
      <c r="AK14" s="487">
        <f t="shared" si="10"/>
        <v>0</v>
      </c>
      <c r="AL14" s="332">
        <f>[1]Субсидия_факт!CO12</f>
        <v>0</v>
      </c>
      <c r="AM14" s="523">
        <f>[1]Субсидия_факт!FK12</f>
        <v>0</v>
      </c>
      <c r="AN14" s="498">
        <f>[1]Субсидия_факт!FW12</f>
        <v>0</v>
      </c>
      <c r="AO14" s="523">
        <f>[1]Субсидия_факт!KA12</f>
        <v>0</v>
      </c>
      <c r="AP14" s="332">
        <f>[1]Субсидия_факт!LE12</f>
        <v>0</v>
      </c>
      <c r="AQ14" s="487">
        <f t="shared" si="11"/>
        <v>0</v>
      </c>
      <c r="AR14" s="462"/>
      <c r="AS14" s="462"/>
      <c r="AT14" s="462"/>
      <c r="AU14" s="462"/>
      <c r="AV14" s="462"/>
      <c r="AW14" s="487">
        <f t="shared" si="132"/>
        <v>1998796.83</v>
      </c>
      <c r="AX14" s="452">
        <f>[1]Субсидия_факт!CQ12</f>
        <v>0</v>
      </c>
      <c r="AY14" s="332">
        <f>[1]Субсидия_факт!FO12</f>
        <v>0</v>
      </c>
      <c r="AZ14" s="476">
        <f>[1]Субсидия_факт!JK12</f>
        <v>0</v>
      </c>
      <c r="BA14" s="496">
        <f>[1]Субсидия_факт!KC12</f>
        <v>0</v>
      </c>
      <c r="BB14" s="498">
        <f>[1]Субсидия_факт!LG12</f>
        <v>1998796.83</v>
      </c>
      <c r="BC14" s="487">
        <f t="shared" si="133"/>
        <v>0</v>
      </c>
      <c r="BD14" s="529"/>
      <c r="BE14" s="529"/>
      <c r="BF14" s="333"/>
      <c r="BG14" s="530"/>
      <c r="BH14" s="529"/>
      <c r="BI14" s="657">
        <f t="shared" si="134"/>
        <v>1998796.83</v>
      </c>
      <c r="BJ14" s="1025">
        <f t="shared" si="12"/>
        <v>0</v>
      </c>
      <c r="BK14" s="452">
        <f t="shared" si="13"/>
        <v>0</v>
      </c>
      <c r="BL14" s="452">
        <f t="shared" si="14"/>
        <v>0</v>
      </c>
      <c r="BM14" s="332">
        <f t="shared" si="15"/>
        <v>0</v>
      </c>
      <c r="BN14" s="488">
        <f t="shared" si="16"/>
        <v>1998796.83</v>
      </c>
      <c r="BO14" s="657">
        <f t="shared" si="135"/>
        <v>0</v>
      </c>
      <c r="BP14" s="607">
        <f t="shared" si="17"/>
        <v>0</v>
      </c>
      <c r="BQ14" s="496">
        <f t="shared" si="18"/>
        <v>0</v>
      </c>
      <c r="BR14" s="332">
        <f t="shared" si="19"/>
        <v>0</v>
      </c>
      <c r="BS14" s="430">
        <f t="shared" si="20"/>
        <v>0</v>
      </c>
      <c r="BT14" s="332">
        <f t="shared" si="21"/>
        <v>0</v>
      </c>
      <c r="BU14" s="657">
        <f t="shared" si="136"/>
        <v>0</v>
      </c>
      <c r="BV14" s="452">
        <f>[1]Субсидия_факт!CS12</f>
        <v>0</v>
      </c>
      <c r="BW14" s="332">
        <f>[1]Субсидия_факт!FQ12</f>
        <v>0</v>
      </c>
      <c r="BX14" s="476">
        <f>[1]Субсидия_факт!JM12</f>
        <v>0</v>
      </c>
      <c r="BY14" s="430">
        <f>[1]Субсидия_факт!KE12</f>
        <v>0</v>
      </c>
      <c r="BZ14" s="332">
        <f>[1]Субсидия_факт!LI12</f>
        <v>0</v>
      </c>
      <c r="CA14" s="659">
        <f t="shared" si="137"/>
        <v>0</v>
      </c>
      <c r="CB14" s="782"/>
      <c r="CC14" s="529"/>
      <c r="CD14" s="462"/>
      <c r="CE14" s="529"/>
      <c r="CF14" s="529"/>
      <c r="CG14" s="517">
        <f t="shared" si="22"/>
        <v>20912618.600000001</v>
      </c>
      <c r="CH14" s="430">
        <f>[1]Субсидия_факт!LM12</f>
        <v>3089181</v>
      </c>
      <c r="CI14" s="452">
        <f>[1]Субсидия_факт!LS12</f>
        <v>17823437.600000001</v>
      </c>
      <c r="CJ14" s="332">
        <f>[1]Субсидия_факт!ME12</f>
        <v>0</v>
      </c>
      <c r="CK14" s="511">
        <f>[1]Субсидия_факт!MK12</f>
        <v>0</v>
      </c>
      <c r="CL14" s="517">
        <f t="shared" si="23"/>
        <v>17823437.600000001</v>
      </c>
      <c r="CM14" s="529"/>
      <c r="CN14" s="529">
        <v>17823437.600000001</v>
      </c>
      <c r="CO14" s="529"/>
      <c r="CP14" s="610"/>
      <c r="CQ14" s="517">
        <f t="shared" si="24"/>
        <v>15862287</v>
      </c>
      <c r="CR14" s="452">
        <f>[1]Субсидия_факт!LO12</f>
        <v>0</v>
      </c>
      <c r="CS14" s="452">
        <f>[1]Субсидия_факт!LU12</f>
        <v>15862287</v>
      </c>
      <c r="CT14" s="332">
        <f>[1]Субсидия_факт!MG12</f>
        <v>0</v>
      </c>
      <c r="CU14" s="511">
        <f>[1]Субсидия_факт!MM12</f>
        <v>0</v>
      </c>
      <c r="CV14" s="517">
        <f t="shared" si="25"/>
        <v>14117435.43</v>
      </c>
      <c r="CW14" s="529"/>
      <c r="CX14" s="530">
        <v>14117435.43</v>
      </c>
      <c r="CY14" s="782"/>
      <c r="CZ14" s="719"/>
      <c r="DA14" s="528">
        <f t="shared" si="138"/>
        <v>0</v>
      </c>
      <c r="DB14" s="526">
        <f t="shared" si="139"/>
        <v>0</v>
      </c>
      <c r="DC14" s="525">
        <f t="shared" si="140"/>
        <v>15862287</v>
      </c>
      <c r="DD14" s="528">
        <f t="shared" si="141"/>
        <v>14117435.43</v>
      </c>
      <c r="DE14" s="524">
        <f>[1]Субсидия_факт!GC12</f>
        <v>0</v>
      </c>
      <c r="DF14" s="330"/>
      <c r="DG14" s="522">
        <f>[1]Субсидия_факт!GE12</f>
        <v>34765603.780000001</v>
      </c>
      <c r="DH14" s="1389">
        <v>10429681.130000001</v>
      </c>
      <c r="DI14" s="757">
        <f t="shared" si="142"/>
        <v>0</v>
      </c>
      <c r="DJ14" s="570">
        <f t="shared" si="143"/>
        <v>0</v>
      </c>
      <c r="DK14" s="757">
        <f>[1]Субсидия_факт!GG12</f>
        <v>34765603.780000001</v>
      </c>
      <c r="DL14" s="1387">
        <f t="shared" si="144"/>
        <v>10429681.130000001</v>
      </c>
      <c r="DM14" s="516">
        <f>[1]Субсидия_факт!GI12</f>
        <v>0</v>
      </c>
      <c r="DN14" s="604"/>
      <c r="DO14" s="517">
        <f>[1]Субсидия_факт!GK12</f>
        <v>1829768.62</v>
      </c>
      <c r="DP14" s="1382">
        <v>548930.59</v>
      </c>
      <c r="DQ14" s="526">
        <f t="shared" si="28"/>
        <v>0</v>
      </c>
      <c r="DR14" s="526">
        <f t="shared" si="29"/>
        <v>0</v>
      </c>
      <c r="DS14" s="653">
        <f t="shared" si="30"/>
        <v>1829768.62</v>
      </c>
      <c r="DT14" s="1385">
        <f t="shared" si="145"/>
        <v>548930.59</v>
      </c>
      <c r="DU14" s="517">
        <f t="shared" si="31"/>
        <v>0</v>
      </c>
      <c r="DV14" s="523">
        <f>[1]Субсидия_факт!E12</f>
        <v>0</v>
      </c>
      <c r="DW14" s="1025">
        <f>[1]Субсидия_факт!G12</f>
        <v>0</v>
      </c>
      <c r="DX14" s="678">
        <f>[1]Субсидия_факт!I12</f>
        <v>0</v>
      </c>
      <c r="DY14" s="636">
        <f>[1]Субсидия_факт!K12</f>
        <v>0</v>
      </c>
      <c r="DZ14" s="786">
        <f>[1]Субсидия_факт!M12</f>
        <v>0</v>
      </c>
      <c r="EA14" s="498">
        <f>[1]Субсидия_факт!O12</f>
        <v>0</v>
      </c>
      <c r="EB14" s="636">
        <f>[1]Субсидия_факт!Q12</f>
        <v>0</v>
      </c>
      <c r="EC14" s="516">
        <f t="shared" si="32"/>
        <v>0</v>
      </c>
      <c r="ED14" s="530"/>
      <c r="EE14" s="529"/>
      <c r="EF14" s="682"/>
      <c r="EG14" s="529"/>
      <c r="EH14" s="682"/>
      <c r="EI14" s="530"/>
      <c r="EJ14" s="607">
        <f t="shared" si="146"/>
        <v>0</v>
      </c>
      <c r="EK14" s="516">
        <f t="shared" si="147"/>
        <v>0</v>
      </c>
      <c r="EL14" s="1223">
        <f>[1]Субсидия_факт!S12</f>
        <v>0</v>
      </c>
      <c r="EM14" s="524">
        <f t="shared" si="147"/>
        <v>0</v>
      </c>
      <c r="EN14" s="607">
        <f t="shared" si="148"/>
        <v>0</v>
      </c>
      <c r="EO14" s="570">
        <f t="shared" si="149"/>
        <v>0</v>
      </c>
      <c r="EP14" s="633">
        <f t="shared" si="150"/>
        <v>0</v>
      </c>
      <c r="EQ14" s="633">
        <f>[1]Субсидия_факт!U12</f>
        <v>0</v>
      </c>
      <c r="ER14" s="1245">
        <f t="shared" si="151"/>
        <v>0</v>
      </c>
      <c r="ES14" s="487">
        <f t="shared" si="33"/>
        <v>0</v>
      </c>
      <c r="ET14" s="511">
        <f>[1]Субсидия_факт!AU12</f>
        <v>0</v>
      </c>
      <c r="EU14" s="890">
        <f>[1]Субсидия_факт!AW12</f>
        <v>0</v>
      </c>
      <c r="EV14" s="454">
        <f t="shared" si="34"/>
        <v>0</v>
      </c>
      <c r="EW14" s="777"/>
      <c r="EX14" s="1095"/>
      <c r="EY14" s="487">
        <f t="shared" si="35"/>
        <v>0</v>
      </c>
      <c r="EZ14" s="511">
        <f>[1]Субсидия_факт!FY12</f>
        <v>0</v>
      </c>
      <c r="FA14" s="890">
        <f>[1]Субсидия_факт!GA12</f>
        <v>0</v>
      </c>
      <c r="FB14" s="454">
        <f t="shared" si="36"/>
        <v>0</v>
      </c>
      <c r="FC14" s="777"/>
      <c r="FD14" s="1095"/>
      <c r="FE14" s="517">
        <f t="shared" si="152"/>
        <v>2864463.16</v>
      </c>
      <c r="FF14" s="430">
        <f>[1]Субсидия_факт!W12</f>
        <v>143223.16</v>
      </c>
      <c r="FG14" s="931">
        <f>[1]Субсидия_факт!Y12</f>
        <v>2721240</v>
      </c>
      <c r="FH14" s="452">
        <f>[1]Субсидия_факт!AA12</f>
        <v>0</v>
      </c>
      <c r="FI14" s="686">
        <f>[1]Субсидия_факт!AC12</f>
        <v>0</v>
      </c>
      <c r="FJ14" s="516">
        <f t="shared" si="153"/>
        <v>0</v>
      </c>
      <c r="FK14" s="462"/>
      <c r="FL14" s="682"/>
      <c r="FM14" s="462"/>
      <c r="FN14" s="682"/>
      <c r="FO14" s="487">
        <f t="shared" si="37"/>
        <v>0</v>
      </c>
      <c r="FP14" s="511">
        <f>[1]Субсидия_факт!AY12</f>
        <v>0</v>
      </c>
      <c r="FQ14" s="890">
        <f>[1]Субсидия_факт!BA12</f>
        <v>0</v>
      </c>
      <c r="FR14" s="454">
        <f t="shared" si="38"/>
        <v>0</v>
      </c>
      <c r="FS14" s="777"/>
      <c r="FT14" s="673"/>
      <c r="FU14" s="524">
        <f t="shared" si="154"/>
        <v>0</v>
      </c>
      <c r="FV14" s="498">
        <f>[1]Субсидия_факт!EE12</f>
        <v>0</v>
      </c>
      <c r="FW14" s="686">
        <f>[1]Субсидия_факт!EG12</f>
        <v>0</v>
      </c>
      <c r="FX14" s="517">
        <f t="shared" si="155"/>
        <v>0</v>
      </c>
      <c r="FY14" s="529"/>
      <c r="FZ14" s="704"/>
      <c r="GA14" s="559">
        <f t="shared" si="41"/>
        <v>300000</v>
      </c>
      <c r="GB14" s="511">
        <f>[1]Субсидия_факт!DS12</f>
        <v>84000.41</v>
      </c>
      <c r="GC14" s="890">
        <f>[1]Субсидия_факт!DY12</f>
        <v>215999.59</v>
      </c>
      <c r="GD14" s="454">
        <f t="shared" si="42"/>
        <v>300000</v>
      </c>
      <c r="GE14" s="1290">
        <f t="shared" ref="GE14:GF16" si="187">GB14</f>
        <v>84000.41</v>
      </c>
      <c r="GF14" s="671">
        <f t="shared" si="187"/>
        <v>215999.59</v>
      </c>
      <c r="GG14" s="454">
        <f t="shared" si="43"/>
        <v>1400000</v>
      </c>
      <c r="GH14" s="511">
        <f>[1]Субсидия_факт!DU12</f>
        <v>392001.92</v>
      </c>
      <c r="GI14" s="751">
        <f>[1]Субсидия_факт!EA12</f>
        <v>1007998.08</v>
      </c>
      <c r="GJ14" s="454">
        <f t="shared" si="44"/>
        <v>1400000</v>
      </c>
      <c r="GK14" s="756">
        <f>GH14</f>
        <v>392001.92</v>
      </c>
      <c r="GL14" s="810">
        <f>GI14</f>
        <v>1007998.08</v>
      </c>
      <c r="GM14" s="659">
        <f t="shared" si="45"/>
        <v>1400000</v>
      </c>
      <c r="GN14" s="749">
        <f>'Проверочная  таблица'!GH14-'Проверочная  таблица'!GT14</f>
        <v>392001.92</v>
      </c>
      <c r="GO14" s="671">
        <f>'Проверочная  таблица'!GI14-'Проверочная  таблица'!GU14</f>
        <v>1007998.08</v>
      </c>
      <c r="GP14" s="653">
        <f t="shared" si="46"/>
        <v>1400000</v>
      </c>
      <c r="GQ14" s="756">
        <f>'Проверочная  таблица'!GK14-'Проверочная  таблица'!GW14</f>
        <v>392001.92</v>
      </c>
      <c r="GR14" s="768">
        <f>'Проверочная  таблица'!GL14-'Проверочная  таблица'!GX14</f>
        <v>1007998.08</v>
      </c>
      <c r="GS14" s="659">
        <f t="shared" si="47"/>
        <v>0</v>
      </c>
      <c r="GT14" s="511">
        <f>[1]Субсидия_факт!DW12</f>
        <v>0</v>
      </c>
      <c r="GU14" s="890">
        <f>[1]Субсидия_факт!EC12</f>
        <v>0</v>
      </c>
      <c r="GV14" s="659">
        <f t="shared" si="48"/>
        <v>0</v>
      </c>
      <c r="GW14" s="511"/>
      <c r="GX14" s="751"/>
      <c r="GY14" s="454">
        <f t="shared" si="49"/>
        <v>0</v>
      </c>
      <c r="GZ14" s="756">
        <f>[1]Субсидия_факт!AE12</f>
        <v>0</v>
      </c>
      <c r="HA14" s="671">
        <f>[1]Субсидия_факт!AG12</f>
        <v>0</v>
      </c>
      <c r="HB14" s="454">
        <f t="shared" si="50"/>
        <v>0</v>
      </c>
      <c r="HC14" s="756"/>
      <c r="HD14" s="671"/>
      <c r="HE14" s="747">
        <f t="shared" si="51"/>
        <v>111481.26</v>
      </c>
      <c r="HF14" s="756">
        <f>[1]Субсидия_факт!BW12</f>
        <v>0</v>
      </c>
      <c r="HG14" s="671">
        <f>[1]Субсидия_факт!CC12</f>
        <v>0</v>
      </c>
      <c r="HH14" s="511">
        <f>[1]Субсидия_факт!CU12</f>
        <v>36231.89</v>
      </c>
      <c r="HI14" s="890">
        <f>[1]Субсидия_факт!DA12</f>
        <v>4136.47</v>
      </c>
      <c r="HJ14" s="511">
        <f>[1]Субсидия_факт!DG12</f>
        <v>32258.06</v>
      </c>
      <c r="HK14" s="890">
        <f>[1]Субсидия_факт!DM12</f>
        <v>38854.839999999997</v>
      </c>
      <c r="HL14" s="511">
        <f>[1]Субсидия_факт!EI12</f>
        <v>0</v>
      </c>
      <c r="HM14" s="751">
        <f>[1]Субсидия_факт!EO12</f>
        <v>0</v>
      </c>
      <c r="HN14" s="747">
        <f t="shared" si="52"/>
        <v>111481.26</v>
      </c>
      <c r="HO14" s="610"/>
      <c r="HP14" s="673"/>
      <c r="HQ14" s="756">
        <f t="shared" si="156"/>
        <v>36231.89</v>
      </c>
      <c r="HR14" s="768">
        <f t="shared" ref="HR14:HR29" si="188">HI14</f>
        <v>4136.47</v>
      </c>
      <c r="HS14" s="756">
        <f t="shared" si="157"/>
        <v>32258.06</v>
      </c>
      <c r="HT14" s="1480">
        <f t="shared" si="158"/>
        <v>38854.839999999997</v>
      </c>
      <c r="HU14" s="610"/>
      <c r="HV14" s="673"/>
      <c r="HW14" s="747">
        <f t="shared" si="53"/>
        <v>85335.48000000001</v>
      </c>
      <c r="HX14" s="756">
        <f>[1]Субсидия_факт!BY12</f>
        <v>0</v>
      </c>
      <c r="HY14" s="671">
        <f>[1]Субсидия_факт!CE12</f>
        <v>0</v>
      </c>
      <c r="HZ14" s="511">
        <f>[1]Субсидия_факт!CW12</f>
        <v>0</v>
      </c>
      <c r="IA14" s="751">
        <f>[1]Субсидия_факт!DC12</f>
        <v>0</v>
      </c>
      <c r="IB14" s="511">
        <f>[1]Субсидия_факт!DI12</f>
        <v>38709.68</v>
      </c>
      <c r="IC14" s="890">
        <f>[1]Субсидия_факт!DO12</f>
        <v>46625.8</v>
      </c>
      <c r="ID14" s="511">
        <f>[1]Субсидия_факт!EK12</f>
        <v>0</v>
      </c>
      <c r="IE14" s="751">
        <f>[1]Субсидия_факт!EQ12</f>
        <v>0</v>
      </c>
      <c r="IF14" s="747">
        <f t="shared" si="54"/>
        <v>85335.48000000001</v>
      </c>
      <c r="IG14" s="610"/>
      <c r="IH14" s="673"/>
      <c r="II14" s="749">
        <f t="shared" si="159"/>
        <v>0</v>
      </c>
      <c r="IJ14" s="671">
        <f t="shared" si="160"/>
        <v>0</v>
      </c>
      <c r="IK14" s="756">
        <f>IB14</f>
        <v>38709.68</v>
      </c>
      <c r="IL14" s="1480">
        <f>IC14</f>
        <v>46625.8</v>
      </c>
      <c r="IM14" s="610"/>
      <c r="IN14" s="673"/>
      <c r="IO14" s="750">
        <f t="shared" si="55"/>
        <v>42667.740000000005</v>
      </c>
      <c r="IP14" s="756">
        <f>'Проверочная  таблица'!HX14-JH14</f>
        <v>0</v>
      </c>
      <c r="IQ14" s="671">
        <f>'Проверочная  таблица'!HY14-JI14</f>
        <v>0</v>
      </c>
      <c r="IR14" s="756">
        <f>'Проверочная  таблица'!HZ14-JJ14</f>
        <v>0</v>
      </c>
      <c r="IS14" s="671">
        <f>'Проверочная  таблица'!IA14-JK14</f>
        <v>0</v>
      </c>
      <c r="IT14" s="749">
        <f>'Проверочная  таблица'!IB14-JL14</f>
        <v>19354.84</v>
      </c>
      <c r="IU14" s="671">
        <f>'Проверочная  таблица'!IC14-JM14</f>
        <v>23312.9</v>
      </c>
      <c r="IV14" s="756">
        <f>'Проверочная  таблица'!ID14-JN14</f>
        <v>0</v>
      </c>
      <c r="IW14" s="671">
        <f>'Проверочная  таблица'!IE14-JO14</f>
        <v>0</v>
      </c>
      <c r="IX14" s="750">
        <f t="shared" si="56"/>
        <v>42667.740000000005</v>
      </c>
      <c r="IY14" s="756">
        <f>'Проверочная  таблица'!IG14-JQ14</f>
        <v>0</v>
      </c>
      <c r="IZ14" s="810">
        <f>'Проверочная  таблица'!IH14-JR14</f>
        <v>0</v>
      </c>
      <c r="JA14" s="756">
        <f>'Проверочная  таблица'!II14-JS14</f>
        <v>0</v>
      </c>
      <c r="JB14" s="768">
        <f>'Проверочная  таблица'!IJ14-JT14</f>
        <v>0</v>
      </c>
      <c r="JC14" s="756">
        <f>'Проверочная  таблица'!IK14-JU14</f>
        <v>19354.84</v>
      </c>
      <c r="JD14" s="768">
        <f>'Проверочная  таблица'!IL14-JV14</f>
        <v>23312.9</v>
      </c>
      <c r="JE14" s="756">
        <f>'Проверочная  таблица'!IM14-JW14</f>
        <v>0</v>
      </c>
      <c r="JF14" s="768">
        <f>'Проверочная  таблица'!IN14-JX14</f>
        <v>0</v>
      </c>
      <c r="JG14" s="659">
        <f t="shared" si="57"/>
        <v>42667.740000000005</v>
      </c>
      <c r="JH14" s="756">
        <f>[1]Субсидия_факт!CA12</f>
        <v>0</v>
      </c>
      <c r="JI14" s="671">
        <f>[1]Субсидия_факт!CG12</f>
        <v>0</v>
      </c>
      <c r="JJ14" s="511">
        <f>[1]Субсидия_факт!CY12</f>
        <v>0</v>
      </c>
      <c r="JK14" s="751">
        <f>[1]Субсидия_факт!DE12</f>
        <v>0</v>
      </c>
      <c r="JL14" s="511">
        <f>[1]Субсидия_факт!DK12</f>
        <v>19354.84</v>
      </c>
      <c r="JM14" s="890">
        <f>[1]Субсидия_факт!DQ12</f>
        <v>23312.9</v>
      </c>
      <c r="JN14" s="511">
        <f>[1]Субсидия_факт!EM12</f>
        <v>0</v>
      </c>
      <c r="JO14" s="751">
        <f>[1]Субсидия_факт!ES12</f>
        <v>0</v>
      </c>
      <c r="JP14" s="750">
        <f t="shared" si="58"/>
        <v>42667.740000000005</v>
      </c>
      <c r="JQ14" s="610"/>
      <c r="JR14" s="673"/>
      <c r="JS14" s="513"/>
      <c r="JT14" s="788"/>
      <c r="JU14" s="756">
        <f>JL14</f>
        <v>19354.84</v>
      </c>
      <c r="JV14" s="1480">
        <f>JM14</f>
        <v>23312.9</v>
      </c>
      <c r="JW14" s="610"/>
      <c r="JX14" s="673"/>
      <c r="JY14" s="454">
        <f t="shared" si="161"/>
        <v>0</v>
      </c>
      <c r="JZ14" s="511">
        <f>[1]Субсидия_факт!BC12</f>
        <v>0</v>
      </c>
      <c r="KA14" s="890">
        <f>[1]Субсидия_факт!BE12</f>
        <v>0</v>
      </c>
      <c r="KB14" s="511">
        <f>[1]Субсидия_факт!BG12</f>
        <v>0</v>
      </c>
      <c r="KC14" s="890">
        <f>[1]Субсидия_факт!BI12</f>
        <v>0</v>
      </c>
      <c r="KD14" s="454">
        <f t="shared" si="162"/>
        <v>0</v>
      </c>
      <c r="KE14" s="610"/>
      <c r="KF14" s="673"/>
      <c r="KG14" s="610"/>
      <c r="KH14" s="673"/>
      <c r="KI14" s="524">
        <f t="shared" si="59"/>
        <v>332303.08</v>
      </c>
      <c r="KJ14" s="511">
        <f>[1]Субсидия_факт!HO12</f>
        <v>332303.08</v>
      </c>
      <c r="KK14" s="523">
        <f>[1]Субсидия_факт!HQ12</f>
        <v>0</v>
      </c>
      <c r="KL14" s="686">
        <f>[1]Субсидия_факт!HS12</f>
        <v>0</v>
      </c>
      <c r="KM14" s="636">
        <f>[1]Субсидия_факт!IC12</f>
        <v>0</v>
      </c>
      <c r="KN14" s="686">
        <f>[1]Субсидия_факт!IE12</f>
        <v>0</v>
      </c>
      <c r="KO14" s="487">
        <f t="shared" si="163"/>
        <v>332303.08</v>
      </c>
      <c r="KP14" s="756">
        <f t="shared" si="164"/>
        <v>332303.08</v>
      </c>
      <c r="KQ14" s="333"/>
      <c r="KR14" s="682"/>
      <c r="KS14" s="462"/>
      <c r="KT14" s="682"/>
      <c r="KU14" s="454">
        <f t="shared" si="60"/>
        <v>0</v>
      </c>
      <c r="KV14" s="513">
        <f>[1]Субсидия_факт!HY12</f>
        <v>0</v>
      </c>
      <c r="KW14" s="513">
        <f>[1]Субсидия_факт!HU12</f>
        <v>0</v>
      </c>
      <c r="KX14" s="751">
        <f>[1]Субсидия_факт!HW12</f>
        <v>0</v>
      </c>
      <c r="KY14" s="454">
        <f t="shared" si="61"/>
        <v>0</v>
      </c>
      <c r="KZ14" s="756">
        <f t="shared" si="165"/>
        <v>0</v>
      </c>
      <c r="LA14" s="610"/>
      <c r="LB14" s="673"/>
      <c r="LC14" s="886">
        <f t="shared" si="62"/>
        <v>0</v>
      </c>
      <c r="LD14" s="886">
        <f t="shared" si="63"/>
        <v>0</v>
      </c>
      <c r="LE14" s="657">
        <f t="shared" si="64"/>
        <v>0</v>
      </c>
      <c r="LF14" s="1038">
        <f t="shared" si="65"/>
        <v>0</v>
      </c>
      <c r="LG14" s="753">
        <f t="shared" si="166"/>
        <v>0</v>
      </c>
      <c r="LH14" s="511">
        <f>[1]Субсидия_факт!OG12</f>
        <v>0</v>
      </c>
      <c r="LI14" s="890">
        <f>[1]Субсидия_факт!OM12</f>
        <v>0</v>
      </c>
      <c r="LJ14" s="511">
        <f>[1]Субсидия_факт!OS12</f>
        <v>0</v>
      </c>
      <c r="LK14" s="890">
        <f>[1]Субсидия_факт!OY12</f>
        <v>0</v>
      </c>
      <c r="LL14" s="756">
        <f>[1]Субсидия_факт!PE12</f>
        <v>0</v>
      </c>
      <c r="LM14" s="768">
        <f>[1]Субсидия_факт!PI12</f>
        <v>0</v>
      </c>
      <c r="LN14" s="753">
        <f t="shared" si="66"/>
        <v>0</v>
      </c>
      <c r="LO14" s="777"/>
      <c r="LP14" s="673"/>
      <c r="LQ14" s="610"/>
      <c r="LR14" s="776"/>
      <c r="LS14" s="610"/>
      <c r="LT14" s="776"/>
      <c r="LU14" s="753">
        <f t="shared" si="67"/>
        <v>5500000</v>
      </c>
      <c r="LV14" s="511">
        <f>[1]Субсидия_факт!OI12</f>
        <v>275000</v>
      </c>
      <c r="LW14" s="890">
        <f>[1]Субсидия_факт!OO12</f>
        <v>5225000</v>
      </c>
      <c r="LX14" s="513">
        <f>[1]Субсидия_факт!OU12</f>
        <v>0</v>
      </c>
      <c r="LY14" s="751">
        <f>[1]Субсидия_факт!PA12</f>
        <v>0</v>
      </c>
      <c r="LZ14" s="754">
        <f t="shared" si="68"/>
        <v>0</v>
      </c>
      <c r="MA14" s="610"/>
      <c r="MB14" s="776"/>
      <c r="MC14" s="610"/>
      <c r="MD14" s="673"/>
      <c r="ME14" s="652">
        <f t="shared" si="69"/>
        <v>0</v>
      </c>
      <c r="MF14" s="642">
        <f>'Проверочная  таблица'!LV14-MP14</f>
        <v>0</v>
      </c>
      <c r="MG14" s="678">
        <f>'Проверочная  таблица'!LW14-MQ14</f>
        <v>0</v>
      </c>
      <c r="MH14" s="765">
        <f>'Проверочная  таблица'!LY14-MR14</f>
        <v>0</v>
      </c>
      <c r="MI14" s="607">
        <f>'Проверочная  таблица'!LX14-MS14</f>
        <v>0</v>
      </c>
      <c r="MJ14" s="755">
        <f t="shared" si="70"/>
        <v>0</v>
      </c>
      <c r="MK14" s="749">
        <f>'Проверочная  таблица'!MA14-MU14</f>
        <v>0</v>
      </c>
      <c r="ML14" s="671">
        <f>'Проверочная  таблица'!MB14-MV14</f>
        <v>0</v>
      </c>
      <c r="MM14" s="768">
        <f>'Проверочная  таблица'!MD14-MW14</f>
        <v>0</v>
      </c>
      <c r="MN14" s="756">
        <f>'Проверочная  таблица'!MC14-MX14</f>
        <v>0</v>
      </c>
      <c r="MO14" s="779">
        <f t="shared" si="71"/>
        <v>5500000</v>
      </c>
      <c r="MP14" s="511">
        <f>[1]Субсидия_факт!OK12</f>
        <v>275000</v>
      </c>
      <c r="MQ14" s="890">
        <f>[1]Субсидия_факт!OQ12</f>
        <v>5225000</v>
      </c>
      <c r="MR14" s="890">
        <f>[1]Субсидия_факт!PC12</f>
        <v>0</v>
      </c>
      <c r="MS14" s="511">
        <f>[1]Субсидия_факт!OW12</f>
        <v>0</v>
      </c>
      <c r="MT14" s="755">
        <f t="shared" si="72"/>
        <v>0</v>
      </c>
      <c r="MU14" s="749">
        <f t="shared" si="167"/>
        <v>0</v>
      </c>
      <c r="MV14" s="671">
        <f t="shared" si="168"/>
        <v>0</v>
      </c>
      <c r="MW14" s="768">
        <f t="shared" si="169"/>
        <v>0</v>
      </c>
      <c r="MX14" s="756">
        <f t="shared" si="73"/>
        <v>0</v>
      </c>
      <c r="MY14" s="524">
        <f>SUM('Проверочная  таблица'!MZ14:MZ14)</f>
        <v>0</v>
      </c>
      <c r="MZ14" s="333"/>
      <c r="NA14" s="524">
        <f>SUM('Проверочная  таблица'!NB14:NB14)</f>
        <v>0</v>
      </c>
      <c r="NB14" s="462"/>
      <c r="NC14" s="524">
        <f t="shared" si="74"/>
        <v>534999</v>
      </c>
      <c r="ND14" s="452">
        <f>[1]Субсидия_факт!IU12</f>
        <v>149799.72</v>
      </c>
      <c r="NE14" s="686">
        <f>[1]Субсидия_факт!IY12</f>
        <v>385199.28</v>
      </c>
      <c r="NF14" s="517">
        <f t="shared" si="75"/>
        <v>534999</v>
      </c>
      <c r="NG14" s="529">
        <v>149799.72</v>
      </c>
      <c r="NH14" s="774">
        <f>534999-NG14</f>
        <v>385199.28</v>
      </c>
      <c r="NI14" s="570">
        <f t="shared" si="76"/>
        <v>534999</v>
      </c>
      <c r="NJ14" s="1000">
        <f>'Проверочная  таблица'!ND14-NP14</f>
        <v>149799.72</v>
      </c>
      <c r="NK14" s="678">
        <f>'Проверочная  таблица'!NE14-NQ14</f>
        <v>385199.28</v>
      </c>
      <c r="NL14" s="570">
        <f t="shared" si="77"/>
        <v>534999</v>
      </c>
      <c r="NM14" s="476">
        <f>'Проверочная  таблица'!NG14-NS14</f>
        <v>149799.72</v>
      </c>
      <c r="NN14" s="678">
        <f>'Проверочная  таблица'!NH14-NT14</f>
        <v>385199.28</v>
      </c>
      <c r="NO14" s="633">
        <f t="shared" si="78"/>
        <v>0</v>
      </c>
      <c r="NP14" s="452">
        <f>[1]Субсидия_факт!IW12</f>
        <v>0</v>
      </c>
      <c r="NQ14" s="686">
        <f>[1]Субсидия_факт!JA12</f>
        <v>0</v>
      </c>
      <c r="NR14" s="570">
        <f t="shared" si="79"/>
        <v>0</v>
      </c>
      <c r="NS14" s="476"/>
      <c r="NT14" s="710"/>
      <c r="NU14" s="517">
        <f t="shared" si="170"/>
        <v>0</v>
      </c>
      <c r="NV14" s="332">
        <f>[1]Субсидия_факт!FA12</f>
        <v>0</v>
      </c>
      <c r="NW14" s="786">
        <f>[1]Субсидия_факт!FC12</f>
        <v>0</v>
      </c>
      <c r="NX14" s="517">
        <f t="shared" si="171"/>
        <v>0</v>
      </c>
      <c r="NY14" s="462"/>
      <c r="NZ14" s="682"/>
      <c r="OA14" s="517">
        <f t="shared" si="172"/>
        <v>0</v>
      </c>
      <c r="OD14" s="517">
        <f t="shared" si="173"/>
        <v>0</v>
      </c>
      <c r="OG14" s="526">
        <f t="shared" si="174"/>
        <v>0</v>
      </c>
      <c r="OJ14" s="526">
        <f t="shared" si="175"/>
        <v>0</v>
      </c>
      <c r="OM14" s="526">
        <f t="shared" si="176"/>
        <v>0</v>
      </c>
      <c r="OP14" s="526">
        <f t="shared" si="177"/>
        <v>0</v>
      </c>
      <c r="OS14" s="524">
        <f t="shared" si="80"/>
        <v>0</v>
      </c>
      <c r="OT14" s="498">
        <f>[1]Субсидия_факт!JO12</f>
        <v>0</v>
      </c>
      <c r="OU14" s="786">
        <f>[1]Субсидия_факт!JQ12</f>
        <v>0</v>
      </c>
      <c r="OV14" s="332">
        <f>[1]Субсидия_факт!KS12</f>
        <v>0</v>
      </c>
      <c r="OW14" s="686">
        <f>[1]Субсидия_факт!KY12</f>
        <v>0</v>
      </c>
      <c r="OX14" s="498">
        <f>[1]Субсидия_факт!KG12</f>
        <v>0</v>
      </c>
      <c r="OY14" s="786">
        <f>[1]Субсидия_факт!KM12</f>
        <v>0</v>
      </c>
      <c r="OZ14" s="517">
        <f t="shared" si="81"/>
        <v>0</v>
      </c>
      <c r="PA14" s="462"/>
      <c r="PB14" s="682"/>
      <c r="PC14" s="333"/>
      <c r="PD14" s="704"/>
      <c r="PE14" s="462"/>
      <c r="PF14" s="794"/>
      <c r="PG14" s="524">
        <f t="shared" si="82"/>
        <v>2036111.1099999999</v>
      </c>
      <c r="PH14" s="498">
        <f>[1]Субсидия_факт!JC12</f>
        <v>0</v>
      </c>
      <c r="PI14" s="931">
        <f>[1]Субсидия_факт!JG12</f>
        <v>0</v>
      </c>
      <c r="PJ14" s="476">
        <f>[1]Субсидия_факт!JS12</f>
        <v>0</v>
      </c>
      <c r="PK14" s="678">
        <f>[1]Субсидия_факт!JW12</f>
        <v>0</v>
      </c>
      <c r="PL14" s="498">
        <f>[1]Субсидия_факт!KU12</f>
        <v>570111.11</v>
      </c>
      <c r="PM14" s="791">
        <f>[1]Субсидия_факт!LA12</f>
        <v>1466000</v>
      </c>
      <c r="PN14" s="498">
        <f>[1]Субсидия_факт!KI12</f>
        <v>0</v>
      </c>
      <c r="PO14" s="686">
        <f>[1]Субсидия_факт!KO12</f>
        <v>0</v>
      </c>
      <c r="PP14" s="517">
        <f t="shared" si="83"/>
        <v>0</v>
      </c>
      <c r="PQ14" s="529"/>
      <c r="PR14" s="771"/>
      <c r="PS14" s="462"/>
      <c r="PT14" s="682"/>
      <c r="PU14" s="529"/>
      <c r="PV14" s="774"/>
      <c r="PW14" s="529"/>
      <c r="PX14" s="682"/>
      <c r="PY14" s="570">
        <f t="shared" si="84"/>
        <v>2036111.1099999999</v>
      </c>
      <c r="PZ14" s="452">
        <f t="shared" si="85"/>
        <v>0</v>
      </c>
      <c r="QA14" s="686">
        <f t="shared" si="86"/>
        <v>0</v>
      </c>
      <c r="QB14" s="430">
        <f t="shared" si="87"/>
        <v>0</v>
      </c>
      <c r="QC14" s="686">
        <f t="shared" si="88"/>
        <v>0</v>
      </c>
      <c r="QD14" s="332">
        <f t="shared" si="89"/>
        <v>570111.11</v>
      </c>
      <c r="QE14" s="686">
        <f t="shared" si="90"/>
        <v>1466000</v>
      </c>
      <c r="QF14" s="430">
        <f t="shared" si="91"/>
        <v>0</v>
      </c>
      <c r="QG14" s="686">
        <f t="shared" si="92"/>
        <v>0</v>
      </c>
      <c r="QH14" s="633">
        <f t="shared" si="93"/>
        <v>0</v>
      </c>
      <c r="QI14" s="452">
        <f t="shared" si="94"/>
        <v>0</v>
      </c>
      <c r="QJ14" s="686">
        <f t="shared" si="95"/>
        <v>0</v>
      </c>
      <c r="QK14" s="430">
        <f t="shared" si="96"/>
        <v>0</v>
      </c>
      <c r="QL14" s="686">
        <f t="shared" si="97"/>
        <v>0</v>
      </c>
      <c r="QM14" s="332">
        <f t="shared" si="98"/>
        <v>0</v>
      </c>
      <c r="QN14" s="786">
        <f t="shared" si="99"/>
        <v>0</v>
      </c>
      <c r="QO14" s="332">
        <f t="shared" si="100"/>
        <v>0</v>
      </c>
      <c r="QP14" s="686">
        <f t="shared" si="101"/>
        <v>0</v>
      </c>
      <c r="QQ14" s="570">
        <f t="shared" si="102"/>
        <v>0</v>
      </c>
      <c r="QR14" s="430">
        <f>[1]Субсидия_факт!JE12</f>
        <v>0</v>
      </c>
      <c r="QS14" s="931">
        <f>[1]Субсидия_факт!JI12</f>
        <v>0</v>
      </c>
      <c r="QT14" s="607">
        <f>[1]Субсидия_факт!JU12</f>
        <v>0</v>
      </c>
      <c r="QU14" s="678">
        <f>[1]Субсидия_факт!JY12</f>
        <v>0</v>
      </c>
      <c r="QV14" s="332">
        <f>[1]Субсидия_факт!KW12</f>
        <v>0</v>
      </c>
      <c r="QW14" s="791">
        <f>[1]Субсидия_факт!LC12</f>
        <v>0</v>
      </c>
      <c r="QX14" s="332">
        <f>[1]Субсидия_факт!KK12</f>
        <v>0</v>
      </c>
      <c r="QY14" s="686">
        <f>[1]Субсидия_факт!KQ12</f>
        <v>0</v>
      </c>
      <c r="QZ14" s="570">
        <f t="shared" si="103"/>
        <v>0</v>
      </c>
      <c r="RA14" s="530"/>
      <c r="RB14" s="678"/>
      <c r="RC14" s="462"/>
      <c r="RD14" s="682"/>
      <c r="RE14" s="530"/>
      <c r="RF14" s="794"/>
      <c r="RG14" s="529"/>
      <c r="RH14" s="765"/>
      <c r="RI14" s="487">
        <f>[1]Субсидия_факт!PW12</f>
        <v>33699574.490000002</v>
      </c>
      <c r="RJ14" s="1240">
        <f t="shared" si="178"/>
        <v>33699574.490000002</v>
      </c>
      <c r="RK14" s="522">
        <f>'Прочая  субсидия_МР  и  ГО'!B10</f>
        <v>54119863.82</v>
      </c>
      <c r="RL14" s="517">
        <f>'Прочая  субсидия_МР  и  ГО'!C10</f>
        <v>39482603.740000002</v>
      </c>
      <c r="RM14" s="522">
        <f>'Прочая  субсидия_БП'!B10</f>
        <v>74256882.819999993</v>
      </c>
      <c r="RN14" s="524">
        <f>'Прочая  субсидия_БП'!C10</f>
        <v>53853358.759999998</v>
      </c>
      <c r="RO14" s="565">
        <f>'Прочая  субсидия_БП'!D10</f>
        <v>30194660.600000001</v>
      </c>
      <c r="RP14" s="564">
        <f>'Прочая  субсидия_БП'!E10</f>
        <v>19261374.539999999</v>
      </c>
      <c r="RQ14" s="571">
        <f>'Прочая  субсидия_БП'!F10</f>
        <v>44062222.219999999</v>
      </c>
      <c r="RR14" s="564">
        <f>'Прочая  субсидия_БП'!G10</f>
        <v>34591984.219999999</v>
      </c>
      <c r="RS14" s="487">
        <f t="shared" si="104"/>
        <v>347927939</v>
      </c>
      <c r="RT14" s="452">
        <f>'Проверочная  таблица'!SR14+'Проверочная  таблица'!RY14+'Проверочная  таблица'!SA14+'Проверочная  таблица'!SC14</f>
        <v>341420994</v>
      </c>
      <c r="RU14" s="332">
        <f>'Проверочная  таблица'!SS14+'Проверочная  таблица'!SE14+'Проверочная  таблица'!SK14+'Проверочная  таблица'!SG14+'Проверочная  таблица'!SO14+'Проверочная  таблица'!SI14+SM14</f>
        <v>6506945</v>
      </c>
      <c r="RV14" s="517">
        <f t="shared" si="105"/>
        <v>271277398.20999998</v>
      </c>
      <c r="RW14" s="430">
        <f>'Проверочная  таблица'!SU14+'Проверочная  таблица'!RZ14+'Проверочная  таблица'!SB14+'Проверочная  таблица'!SD14</f>
        <v>268907434.89999998</v>
      </c>
      <c r="RX14" s="332">
        <f>'Проверочная  таблица'!SV14+'Проверочная  таблица'!SF14+'Проверочная  таблица'!SL14+'Проверочная  таблица'!SH14+'Проверочная  таблица'!SP14+'Проверочная  таблица'!SJ14+SN14</f>
        <v>2369963.31</v>
      </c>
      <c r="RY14" s="559">
        <f>'Субвенция  на  полномочия'!B10</f>
        <v>318225994</v>
      </c>
      <c r="RZ14" s="454">
        <f>'Субвенция  на  полномочия'!C10</f>
        <v>250040434.90000001</v>
      </c>
      <c r="SA14" s="732">
        <f>[1]Субвенция_факт!P11*1000</f>
        <v>15850000</v>
      </c>
      <c r="SB14" s="1389">
        <v>12734000</v>
      </c>
      <c r="SC14" s="732">
        <f>[1]Субвенция_факт!K11*1000</f>
        <v>6052000</v>
      </c>
      <c r="SD14" s="1389">
        <v>4840000</v>
      </c>
      <c r="SE14" s="732">
        <f>[1]Субвенция_факт!AD11*1000</f>
        <v>1195400</v>
      </c>
      <c r="SF14" s="735">
        <v>578939.18999999994</v>
      </c>
      <c r="SG14" s="732">
        <f>[1]Субвенция_факт!AE11*1000</f>
        <v>5000</v>
      </c>
      <c r="SH14" s="735">
        <v>2250</v>
      </c>
      <c r="SI14" s="732">
        <f>[1]Субвенция_факт!E11*1000</f>
        <v>2506545</v>
      </c>
      <c r="SJ14" s="735"/>
      <c r="SK14" s="732">
        <f>[1]Субвенция_факт!F11*1000</f>
        <v>0</v>
      </c>
      <c r="SL14" s="866"/>
      <c r="SM14" s="163">
        <f>[1]Субвенция_факт!G11*1000</f>
        <v>0</v>
      </c>
      <c r="SN14" s="867"/>
      <c r="SO14" s="732">
        <f>[1]Субвенция_факт!H11*1000</f>
        <v>0</v>
      </c>
      <c r="SP14" s="735"/>
      <c r="SQ14" s="524">
        <f t="shared" si="106"/>
        <v>4093000</v>
      </c>
      <c r="SR14" s="865">
        <f>[1]Субвенция_факт!AC11*1000</f>
        <v>1293000</v>
      </c>
      <c r="SS14" s="1040">
        <f>[1]Субвенция_факт!AB11*1000</f>
        <v>2800000</v>
      </c>
      <c r="ST14" s="517">
        <f t="shared" si="107"/>
        <v>3081774.12</v>
      </c>
      <c r="SU14" s="1503">
        <v>1293000</v>
      </c>
      <c r="SV14" s="1506">
        <v>1788774.12</v>
      </c>
      <c r="SW14" s="271">
        <f>'Проверочная  таблица'!VC14+'Проверочная  таблица'!UY14+'Проверочная  таблица'!TQ14+'Проверочная  таблица'!TU14+SY14+'Проверочная  таблица'!US14+UC14+UI14</f>
        <v>0</v>
      </c>
      <c r="SX14" s="163">
        <f>'Проверочная  таблица'!VE14+'Проверочная  таблица'!VA14+'Проверочная  таблица'!TS14+'Проверочная  таблица'!TW14+TH14+'Проверочная  таблица'!UV14+UF14+UL14</f>
        <v>0</v>
      </c>
      <c r="SY14" s="1129">
        <f t="shared" si="108"/>
        <v>0</v>
      </c>
      <c r="SZ14" s="1114">
        <f>'[1]Иные межбюджетные трансферты'!O12</f>
        <v>0</v>
      </c>
      <c r="TA14" s="1111">
        <f>'[1]Иные межбюджетные трансферты'!Q12</f>
        <v>0</v>
      </c>
      <c r="TB14" s="879">
        <f>'[1]Иные межбюджетные трансферты'!I12</f>
        <v>0</v>
      </c>
      <c r="TC14" s="1111">
        <f>'[1]Иные межбюджетные трансферты'!K12</f>
        <v>0</v>
      </c>
      <c r="TD14" s="879">
        <f>'[1]Иные межбюджетные трансферты'!S12</f>
        <v>0</v>
      </c>
      <c r="TE14" s="958">
        <f>'[1]Иные межбюджетные трансферты'!U12</f>
        <v>0</v>
      </c>
      <c r="TF14" s="1236">
        <f>'[1]Иные межбюджетные трансферты'!M12</f>
        <v>0</v>
      </c>
      <c r="TG14" s="1231">
        <f>'[1]Иные межбюджетные трансферты'!W12</f>
        <v>0</v>
      </c>
      <c r="TH14" s="991">
        <f t="shared" si="109"/>
        <v>0</v>
      </c>
      <c r="TI14" s="984"/>
      <c r="TJ14" s="982"/>
      <c r="TK14" s="879"/>
      <c r="TL14" s="958"/>
      <c r="TM14" s="879"/>
      <c r="TN14" s="958"/>
      <c r="TO14" s="984"/>
      <c r="TP14" s="1269"/>
      <c r="TQ14" s="973">
        <f t="shared" si="179"/>
        <v>0</v>
      </c>
      <c r="TR14" s="1458">
        <f>'[1]Иные межбюджетные трансферты'!Y12</f>
        <v>0</v>
      </c>
      <c r="TS14" s="973">
        <f t="shared" si="179"/>
        <v>0</v>
      </c>
      <c r="TT14" s="958"/>
      <c r="TU14" s="973">
        <f t="shared" ref="TU14" si="189">TV14</f>
        <v>0</v>
      </c>
      <c r="TV14" s="958">
        <f>'[1]Иные межбюджетные трансферты'!AA12</f>
        <v>0</v>
      </c>
      <c r="TW14" s="973">
        <f t="shared" si="110"/>
        <v>0</v>
      </c>
      <c r="TX14" s="1111"/>
      <c r="TY14" s="976">
        <f t="shared" si="111"/>
        <v>0</v>
      </c>
      <c r="TZ14" s="970">
        <f t="shared" si="112"/>
        <v>0</v>
      </c>
      <c r="UA14" s="1266">
        <f t="shared" si="181"/>
        <v>0</v>
      </c>
      <c r="UB14" s="976">
        <f t="shared" si="182"/>
        <v>0</v>
      </c>
      <c r="UC14" s="973">
        <f t="shared" si="113"/>
        <v>0</v>
      </c>
      <c r="UD14" s="1272">
        <f>'[1]Иные межбюджетные трансферты'!AE12</f>
        <v>0</v>
      </c>
      <c r="UE14" s="1145">
        <f>'[1]Иные межбюджетные трансферты'!AK12</f>
        <v>0</v>
      </c>
      <c r="UF14" s="973">
        <f t="shared" si="114"/>
        <v>0</v>
      </c>
      <c r="UG14" s="958"/>
      <c r="UH14" s="958"/>
      <c r="UI14" s="973">
        <f t="shared" si="115"/>
        <v>0</v>
      </c>
      <c r="UJ14" s="1272">
        <f>'[1]Иные межбюджетные трансферты'!AG12</f>
        <v>0</v>
      </c>
      <c r="UK14" s="1145">
        <f>'[1]Иные межбюджетные трансферты'!AM12</f>
        <v>0</v>
      </c>
      <c r="UL14" s="973">
        <f t="shared" si="116"/>
        <v>0</v>
      </c>
      <c r="UM14" s="958"/>
      <c r="UN14" s="1111"/>
      <c r="UO14" s="976">
        <f t="shared" si="183"/>
        <v>0</v>
      </c>
      <c r="UP14" s="970">
        <f t="shared" si="184"/>
        <v>0</v>
      </c>
      <c r="UQ14" s="970">
        <f t="shared" si="185"/>
        <v>0</v>
      </c>
      <c r="UR14" s="1462">
        <f t="shared" si="186"/>
        <v>0</v>
      </c>
      <c r="US14" s="1263">
        <f t="shared" si="117"/>
        <v>0</v>
      </c>
      <c r="UT14" s="1040">
        <f>'[1]Иные межбюджетные трансферты'!E12</f>
        <v>0</v>
      </c>
      <c r="UU14" s="1126">
        <f>'[1]Иные межбюджетные трансферты'!G12</f>
        <v>0</v>
      </c>
      <c r="UV14" s="733">
        <f t="shared" si="118"/>
        <v>0</v>
      </c>
      <c r="UW14" s="1040"/>
      <c r="UX14" s="1126"/>
      <c r="UY14" s="880">
        <f t="shared" si="119"/>
        <v>0</v>
      </c>
      <c r="UZ14" s="958"/>
      <c r="VA14" s="1039">
        <f t="shared" si="120"/>
        <v>0</v>
      </c>
      <c r="VB14" s="890"/>
      <c r="VC14" s="510">
        <f t="shared" si="121"/>
        <v>0</v>
      </c>
      <c r="VD14" s="874">
        <f>'[1]Иные межбюджетные трансферты'!AS12</f>
        <v>0</v>
      </c>
      <c r="VE14" s="510">
        <f t="shared" si="122"/>
        <v>0</v>
      </c>
      <c r="VF14" s="513"/>
      <c r="VG14" s="886">
        <f t="shared" si="123"/>
        <v>0</v>
      </c>
      <c r="VH14" s="511">
        <f>'Проверочная  таблица'!VD14-VL14</f>
        <v>0</v>
      </c>
      <c r="VI14" s="886">
        <f t="shared" si="124"/>
        <v>0</v>
      </c>
      <c r="VJ14" s="511">
        <f>'Проверочная  таблица'!VF14-VN14</f>
        <v>0</v>
      </c>
      <c r="VK14" s="886">
        <f t="shared" si="125"/>
        <v>0</v>
      </c>
      <c r="VL14" s="874">
        <f>'[1]Иные межбюджетные трансферты'!AU12</f>
        <v>0</v>
      </c>
      <c r="VM14" s="1038">
        <f t="shared" si="126"/>
        <v>0</v>
      </c>
      <c r="VN14" s="513"/>
      <c r="VO14" s="517">
        <f>VQ14+'Проверочная  таблица'!VY14+VU14+'Проверочная  таблица'!WC14+VW14+'Проверочная  таблица'!WE14</f>
        <v>-28700000</v>
      </c>
      <c r="VP14" s="517">
        <f>VR14+'Проверочная  таблица'!VZ14+VV14+'Проверочная  таблица'!WD14+VX14+'Проверочная  таблица'!WF14</f>
        <v>-10250000</v>
      </c>
      <c r="VQ14" s="531"/>
      <c r="VR14" s="531"/>
      <c r="VS14" s="531">
        <v>2000000</v>
      </c>
      <c r="VT14" s="531">
        <v>1700000</v>
      </c>
      <c r="VU14" s="528">
        <f t="shared" si="127"/>
        <v>2000000</v>
      </c>
      <c r="VV14" s="526">
        <f t="shared" si="128"/>
        <v>1700000</v>
      </c>
      <c r="VW14" s="532"/>
      <c r="VX14" s="521"/>
      <c r="VY14" s="531">
        <v>-14000000</v>
      </c>
      <c r="VZ14" s="531">
        <v>-6500000</v>
      </c>
      <c r="WA14" s="531">
        <v>-16700000</v>
      </c>
      <c r="WB14" s="531">
        <f>-400000-4650000-400000</f>
        <v>-5450000</v>
      </c>
      <c r="WC14" s="528">
        <f t="shared" si="129"/>
        <v>-3250000</v>
      </c>
      <c r="WD14" s="526">
        <f t="shared" si="130"/>
        <v>-800000</v>
      </c>
      <c r="WE14" s="521">
        <v>-13450000</v>
      </c>
      <c r="WF14" s="521">
        <v>-4650000</v>
      </c>
      <c r="WG14" s="1356">
        <f>'Проверочная  таблица'!VY14+'Проверочная  таблица'!WA14</f>
        <v>-30700000</v>
      </c>
      <c r="WH14" s="1356">
        <f>'Проверочная  таблица'!VZ14+'Проверочная  таблица'!WB14</f>
        <v>-11950000</v>
      </c>
      <c r="WI14" s="1481"/>
    </row>
    <row r="15" spans="1:607" s="329" customFormat="1" ht="25.5" customHeight="1" x14ac:dyDescent="0.3">
      <c r="A15" s="338" t="s">
        <v>91</v>
      </c>
      <c r="B15" s="524">
        <f>D15+AI15+'Проверочная  таблица'!RS15+'Проверочная  таблица'!SW15</f>
        <v>571584947.51999998</v>
      </c>
      <c r="C15" s="517">
        <f>E15+'Проверочная  таблица'!RV15+AJ15+'Проверочная  таблица'!SX15</f>
        <v>416453201.56999999</v>
      </c>
      <c r="D15" s="522">
        <f t="shared" si="0"/>
        <v>80036441</v>
      </c>
      <c r="E15" s="524">
        <f t="shared" si="1"/>
        <v>61667362</v>
      </c>
      <c r="F15" s="1062">
        <f>'[1]Дотация  из  ОБ_факт'!I11+'[1]Дотация  из  ОБ_факт'!Q11</f>
        <v>11369500</v>
      </c>
      <c r="G15" s="1366">
        <v>9214638</v>
      </c>
      <c r="H15" s="563">
        <f>'[1]Дотация  из  ОБ_факт'!K11</f>
        <v>42575200</v>
      </c>
      <c r="I15" s="1366">
        <v>33265671</v>
      </c>
      <c r="J15" s="564">
        <f t="shared" si="2"/>
        <v>42575200</v>
      </c>
      <c r="K15" s="571">
        <f t="shared" si="3"/>
        <v>33265671</v>
      </c>
      <c r="L15" s="883">
        <f>'[1]Дотация  из  ОБ_факт'!O11</f>
        <v>0</v>
      </c>
      <c r="M15" s="745"/>
      <c r="N15" s="563">
        <f>'[1]Дотация  из  ОБ_факт'!U11</f>
        <v>919841</v>
      </c>
      <c r="O15" s="1366">
        <v>300000</v>
      </c>
      <c r="P15" s="784">
        <f>'[1]Дотация  из  ОБ_факт'!W11</f>
        <v>25171900</v>
      </c>
      <c r="Q15" s="1366">
        <v>18887053</v>
      </c>
      <c r="R15" s="571">
        <f t="shared" si="4"/>
        <v>25171900</v>
      </c>
      <c r="S15" s="564">
        <f t="shared" si="5"/>
        <v>18887053</v>
      </c>
      <c r="T15" s="1059">
        <f>'[1]Дотация  из  ОБ_факт'!AA11</f>
        <v>0</v>
      </c>
      <c r="U15" s="331"/>
      <c r="V15" s="784">
        <f>'[1]Дотация  из  ОБ_факт'!AE11+'[1]Дотация  из  ОБ_факт'!AG11+'[1]Дотация  из  ОБ_факт'!AK11</f>
        <v>0</v>
      </c>
      <c r="W15" s="163">
        <f t="shared" si="6"/>
        <v>0</v>
      </c>
      <c r="X15" s="567"/>
      <c r="Y15" s="566"/>
      <c r="Z15" s="567"/>
      <c r="AA15" s="563">
        <f>'[1]Дотация  из  ОБ_факт'!AC11+'[1]Дотация  из  ОБ_факт'!AI11</f>
        <v>0</v>
      </c>
      <c r="AB15" s="165">
        <f t="shared" si="7"/>
        <v>0</v>
      </c>
      <c r="AC15" s="566"/>
      <c r="AD15" s="567"/>
      <c r="AE15" s="564">
        <f t="shared" si="8"/>
        <v>0</v>
      </c>
      <c r="AF15" s="571">
        <f t="shared" si="9"/>
        <v>0</v>
      </c>
      <c r="AG15" s="565">
        <f>'[1]Дотация  из  ОБ_факт'!AI11</f>
        <v>0</v>
      </c>
      <c r="AH15" s="1370">
        <f t="shared" si="131"/>
        <v>0</v>
      </c>
      <c r="AI15" s="559">
        <f>'Проверочная  таблица'!KI15+NU15+OA15+'Проверочная  таблица'!RK15+'Проверочная  таблица'!RM15+DE15+DG15+DM15+DO15+'Проверочная  таблица'!MY15+'Проверочная  таблица'!NC15+CG15+CQ15+'Проверочная  таблица'!HE15+'Проверочная  таблица'!HW15+'Проверочная  таблица'!ES15+'Проверочная  таблица'!JY15+DU15+'Проверочная  таблица'!GA15+'Проверочная  таблица'!GG15+'Проверочная  таблица'!LG15+'Проверочная  таблица'!LU15+FU15+'Проверочная  таблица'!KU15+RI15+OS15+PG15+EK15+AK15+AW15+FO15+FE15+GY15+EY15</f>
        <v>132634290.52000001</v>
      </c>
      <c r="AJ15" s="487">
        <f>'Проверочная  таблица'!KO15+NX15+OD15+'Проверочная  таблица'!RL15+'Проверочная  таблица'!RN15+DF15+DH15+DN15+DP15+'Проверочная  таблица'!NA15+'Проверочная  таблица'!NF15+CL15+CV15+'Проверочная  таблица'!HN15+'Проверочная  таблица'!IF15+'Проверочная  таблица'!EV15+'Проверочная  таблица'!KD15+EC15+'Проверочная  таблица'!GD15+'Проверочная  таблица'!GJ15+'Проверочная  таблица'!LN15+'Проверочная  таблица'!LZ15+FX15+'Проверочная  таблица'!KY15+FR15+RJ15+PP15+OZ15+EM15+AQ15+BC15+FJ15+HB15+FB15</f>
        <v>88621827.510000005</v>
      </c>
      <c r="AK15" s="487">
        <f t="shared" si="10"/>
        <v>22432392</v>
      </c>
      <c r="AL15" s="332">
        <f>[1]Субсидия_факт!CO13</f>
        <v>0</v>
      </c>
      <c r="AM15" s="523">
        <f>[1]Субсидия_факт!FK13</f>
        <v>22432392</v>
      </c>
      <c r="AN15" s="498">
        <f>[1]Субсидия_факт!FW13</f>
        <v>0</v>
      </c>
      <c r="AO15" s="523">
        <f>[1]Субсидия_факт!KA13</f>
        <v>0</v>
      </c>
      <c r="AP15" s="332">
        <f>[1]Субсидия_факт!LE13</f>
        <v>0</v>
      </c>
      <c r="AQ15" s="487">
        <f t="shared" si="11"/>
        <v>0</v>
      </c>
      <c r="AR15" s="462"/>
      <c r="AS15" s="462">
        <v>0</v>
      </c>
      <c r="AT15" s="462"/>
      <c r="AU15" s="462"/>
      <c r="AV15" s="462"/>
      <c r="AW15" s="487">
        <f t="shared" si="132"/>
        <v>0</v>
      </c>
      <c r="AX15" s="452">
        <f>[1]Субсидия_факт!CQ13</f>
        <v>0</v>
      </c>
      <c r="AY15" s="332">
        <f>[1]Субсидия_факт!FO13</f>
        <v>0</v>
      </c>
      <c r="AZ15" s="476">
        <f>[1]Субсидия_факт!JK13</f>
        <v>0</v>
      </c>
      <c r="BA15" s="496">
        <f>[1]Субсидия_факт!KC13</f>
        <v>0</v>
      </c>
      <c r="BB15" s="498">
        <f>[1]Субсидия_факт!LG13</f>
        <v>0</v>
      </c>
      <c r="BC15" s="487">
        <f t="shared" si="133"/>
        <v>0</v>
      </c>
      <c r="BD15" s="529"/>
      <c r="BE15" s="529"/>
      <c r="BF15" s="333"/>
      <c r="BG15" s="530"/>
      <c r="BH15" s="529"/>
      <c r="BI15" s="657">
        <f t="shared" si="134"/>
        <v>0</v>
      </c>
      <c r="BJ15" s="1025">
        <f t="shared" si="12"/>
        <v>0</v>
      </c>
      <c r="BK15" s="452">
        <f t="shared" si="13"/>
        <v>0</v>
      </c>
      <c r="BL15" s="452">
        <f t="shared" si="14"/>
        <v>0</v>
      </c>
      <c r="BM15" s="332">
        <f t="shared" si="15"/>
        <v>0</v>
      </c>
      <c r="BN15" s="488">
        <f t="shared" si="16"/>
        <v>0</v>
      </c>
      <c r="BO15" s="657">
        <f t="shared" si="135"/>
        <v>0</v>
      </c>
      <c r="BP15" s="607">
        <f t="shared" si="17"/>
        <v>0</v>
      </c>
      <c r="BQ15" s="496">
        <f t="shared" si="18"/>
        <v>0</v>
      </c>
      <c r="BR15" s="332">
        <f t="shared" si="19"/>
        <v>0</v>
      </c>
      <c r="BS15" s="430">
        <f t="shared" si="20"/>
        <v>0</v>
      </c>
      <c r="BT15" s="332">
        <f t="shared" si="21"/>
        <v>0</v>
      </c>
      <c r="BU15" s="657">
        <f t="shared" si="136"/>
        <v>0</v>
      </c>
      <c r="BV15" s="452">
        <f>[1]Субсидия_факт!CS13</f>
        <v>0</v>
      </c>
      <c r="BW15" s="332">
        <f>[1]Субсидия_факт!FQ13</f>
        <v>0</v>
      </c>
      <c r="BX15" s="476">
        <f>[1]Субсидия_факт!JM13</f>
        <v>0</v>
      </c>
      <c r="BY15" s="430">
        <f>[1]Субсидия_факт!KE13</f>
        <v>0</v>
      </c>
      <c r="BZ15" s="332">
        <f>[1]Субсидия_факт!LI13</f>
        <v>0</v>
      </c>
      <c r="CA15" s="659">
        <f t="shared" si="137"/>
        <v>0</v>
      </c>
      <c r="CB15" s="782"/>
      <c r="CC15" s="529"/>
      <c r="CD15" s="462"/>
      <c r="CE15" s="529"/>
      <c r="CF15" s="529"/>
      <c r="CG15" s="517">
        <f t="shared" si="22"/>
        <v>19165917</v>
      </c>
      <c r="CH15" s="430">
        <f>[1]Субсидия_факт!LM13</f>
        <v>0</v>
      </c>
      <c r="CI15" s="452">
        <f>[1]Субсидия_факт!LS13</f>
        <v>19165917</v>
      </c>
      <c r="CJ15" s="332">
        <f>[1]Субсидия_факт!ME13</f>
        <v>0</v>
      </c>
      <c r="CK15" s="511">
        <f>[1]Субсидия_факт!MK13</f>
        <v>0</v>
      </c>
      <c r="CL15" s="517">
        <f t="shared" si="23"/>
        <v>17072401.890000001</v>
      </c>
      <c r="CM15" s="529"/>
      <c r="CN15" s="529">
        <v>17072401.890000001</v>
      </c>
      <c r="CO15" s="529"/>
      <c r="CP15" s="610"/>
      <c r="CQ15" s="517">
        <f t="shared" si="24"/>
        <v>0</v>
      </c>
      <c r="CR15" s="452">
        <f>[1]Субсидия_факт!LO13</f>
        <v>0</v>
      </c>
      <c r="CS15" s="452">
        <f>[1]Субсидия_факт!LU13</f>
        <v>0</v>
      </c>
      <c r="CT15" s="332">
        <f>[1]Субсидия_факт!MG13</f>
        <v>0</v>
      </c>
      <c r="CU15" s="511">
        <f>[1]Субсидия_факт!MM13</f>
        <v>0</v>
      </c>
      <c r="CV15" s="517">
        <f t="shared" si="25"/>
        <v>0</v>
      </c>
      <c r="CW15" s="529"/>
      <c r="CX15" s="530"/>
      <c r="CY15" s="782"/>
      <c r="CZ15" s="719"/>
      <c r="DA15" s="528">
        <f t="shared" si="138"/>
        <v>0</v>
      </c>
      <c r="DB15" s="526">
        <f t="shared" si="139"/>
        <v>0</v>
      </c>
      <c r="DC15" s="525">
        <f t="shared" si="140"/>
        <v>0</v>
      </c>
      <c r="DD15" s="528">
        <f t="shared" si="141"/>
        <v>0</v>
      </c>
      <c r="DE15" s="524">
        <f>[1]Субсидия_факт!GC13</f>
        <v>0</v>
      </c>
      <c r="DF15" s="330"/>
      <c r="DG15" s="522">
        <f>[1]Субсидия_факт!GE13</f>
        <v>0</v>
      </c>
      <c r="DH15" s="330"/>
      <c r="DI15" s="757">
        <f t="shared" si="142"/>
        <v>0</v>
      </c>
      <c r="DJ15" s="570">
        <f t="shared" si="143"/>
        <v>0</v>
      </c>
      <c r="DK15" s="757">
        <f>[1]Субсидия_факт!GG13</f>
        <v>0</v>
      </c>
      <c r="DL15" s="1387">
        <f t="shared" si="144"/>
        <v>0</v>
      </c>
      <c r="DM15" s="516">
        <f>[1]Субсидия_факт!GI13</f>
        <v>0</v>
      </c>
      <c r="DN15" s="604"/>
      <c r="DO15" s="517">
        <f>[1]Субсидия_факт!GK13</f>
        <v>0</v>
      </c>
      <c r="DP15" s="604"/>
      <c r="DQ15" s="526">
        <f t="shared" si="28"/>
        <v>0</v>
      </c>
      <c r="DR15" s="526">
        <f t="shared" si="29"/>
        <v>0</v>
      </c>
      <c r="DS15" s="653">
        <f t="shared" si="30"/>
        <v>0</v>
      </c>
      <c r="DT15" s="1385">
        <f t="shared" si="145"/>
        <v>0</v>
      </c>
      <c r="DU15" s="517">
        <f t="shared" si="31"/>
        <v>210937.5</v>
      </c>
      <c r="DV15" s="523">
        <f>[1]Субсидия_факт!E13</f>
        <v>0</v>
      </c>
      <c r="DW15" s="1025">
        <f>[1]Субсидия_факт!G13</f>
        <v>0</v>
      </c>
      <c r="DX15" s="678">
        <f>[1]Субсидия_факт!I13</f>
        <v>0</v>
      </c>
      <c r="DY15" s="636">
        <f>[1]Субсидия_факт!K13</f>
        <v>0</v>
      </c>
      <c r="DZ15" s="786">
        <f>[1]Субсидия_факт!M13</f>
        <v>0</v>
      </c>
      <c r="EA15" s="498">
        <f>[1]Субсидия_факт!O13</f>
        <v>0</v>
      </c>
      <c r="EB15" s="636">
        <f>[1]Субсидия_факт!Q13</f>
        <v>210937.5</v>
      </c>
      <c r="EC15" s="516">
        <f t="shared" si="32"/>
        <v>210937.5</v>
      </c>
      <c r="ED15" s="530"/>
      <c r="EE15" s="529"/>
      <c r="EF15" s="682"/>
      <c r="EG15" s="529"/>
      <c r="EH15" s="682"/>
      <c r="EI15" s="530"/>
      <c r="EJ15" s="607">
        <f t="shared" si="146"/>
        <v>210937.5</v>
      </c>
      <c r="EK15" s="516">
        <f t="shared" si="147"/>
        <v>0</v>
      </c>
      <c r="EL15" s="1223">
        <f>[1]Субсидия_факт!S13</f>
        <v>0</v>
      </c>
      <c r="EM15" s="524">
        <f t="shared" si="147"/>
        <v>0</v>
      </c>
      <c r="EN15" s="607">
        <f t="shared" si="148"/>
        <v>0</v>
      </c>
      <c r="EO15" s="570">
        <f t="shared" si="149"/>
        <v>0</v>
      </c>
      <c r="EP15" s="633">
        <f t="shared" si="150"/>
        <v>0</v>
      </c>
      <c r="EQ15" s="633">
        <f>[1]Субсидия_факт!U13</f>
        <v>0</v>
      </c>
      <c r="ER15" s="1245">
        <f t="shared" si="151"/>
        <v>0</v>
      </c>
      <c r="ES15" s="487">
        <f t="shared" si="33"/>
        <v>0</v>
      </c>
      <c r="ET15" s="511">
        <f>[1]Субсидия_факт!AU13</f>
        <v>0</v>
      </c>
      <c r="EU15" s="890">
        <f>[1]Субсидия_факт!AW13</f>
        <v>0</v>
      </c>
      <c r="EV15" s="454">
        <f t="shared" si="34"/>
        <v>0</v>
      </c>
      <c r="EW15" s="777"/>
      <c r="EX15" s="1095"/>
      <c r="EY15" s="487">
        <f t="shared" si="35"/>
        <v>0</v>
      </c>
      <c r="EZ15" s="511">
        <f>[1]Субсидия_факт!FY13</f>
        <v>0</v>
      </c>
      <c r="FA15" s="890">
        <f>[1]Субсидия_факт!GA13</f>
        <v>0</v>
      </c>
      <c r="FB15" s="454">
        <f t="shared" si="36"/>
        <v>0</v>
      </c>
      <c r="FC15" s="777"/>
      <c r="FD15" s="1095"/>
      <c r="FE15" s="517">
        <f t="shared" si="152"/>
        <v>0</v>
      </c>
      <c r="FF15" s="430">
        <f>[1]Субсидия_факт!W13</f>
        <v>0</v>
      </c>
      <c r="FG15" s="931">
        <f>[1]Субсидия_факт!Y13</f>
        <v>0</v>
      </c>
      <c r="FH15" s="452">
        <f>[1]Субсидия_факт!AA13</f>
        <v>0</v>
      </c>
      <c r="FI15" s="686">
        <f>[1]Субсидия_факт!AC13</f>
        <v>0</v>
      </c>
      <c r="FJ15" s="516">
        <f t="shared" si="153"/>
        <v>0</v>
      </c>
      <c r="FK15" s="462"/>
      <c r="FL15" s="682"/>
      <c r="FM15" s="462"/>
      <c r="FN15" s="682"/>
      <c r="FO15" s="487">
        <f t="shared" si="37"/>
        <v>0</v>
      </c>
      <c r="FP15" s="511">
        <f>[1]Субсидия_факт!AY13</f>
        <v>0</v>
      </c>
      <c r="FQ15" s="890">
        <f>[1]Субсидия_факт!BA13</f>
        <v>0</v>
      </c>
      <c r="FR15" s="454">
        <f t="shared" si="38"/>
        <v>0</v>
      </c>
      <c r="FS15" s="777"/>
      <c r="FT15" s="673"/>
      <c r="FU15" s="524">
        <f t="shared" si="154"/>
        <v>0</v>
      </c>
      <c r="FV15" s="498">
        <f>[1]Субсидия_факт!EE13</f>
        <v>0</v>
      </c>
      <c r="FW15" s="686">
        <f>[1]Субсидия_факт!EG13</f>
        <v>0</v>
      </c>
      <c r="FX15" s="517">
        <f t="shared" si="155"/>
        <v>0</v>
      </c>
      <c r="FY15" s="529"/>
      <c r="FZ15" s="704"/>
      <c r="GA15" s="559">
        <f t="shared" si="41"/>
        <v>1348234</v>
      </c>
      <c r="GB15" s="511">
        <f>[1]Субсидия_факт!DS13</f>
        <v>377507.37</v>
      </c>
      <c r="GC15" s="890">
        <f>[1]Субсидия_факт!DY13</f>
        <v>970726.63</v>
      </c>
      <c r="GD15" s="454">
        <f t="shared" si="42"/>
        <v>1348234</v>
      </c>
      <c r="GE15" s="1290">
        <f t="shared" si="187"/>
        <v>377507.37</v>
      </c>
      <c r="GF15" s="671">
        <f t="shared" si="187"/>
        <v>970726.63</v>
      </c>
      <c r="GG15" s="454">
        <f t="shared" si="43"/>
        <v>0</v>
      </c>
      <c r="GH15" s="511">
        <f>[1]Субсидия_факт!DU13</f>
        <v>0</v>
      </c>
      <c r="GI15" s="751">
        <f>[1]Субсидия_факт!EA13</f>
        <v>0</v>
      </c>
      <c r="GJ15" s="454">
        <f t="shared" si="44"/>
        <v>0</v>
      </c>
      <c r="GK15" s="610"/>
      <c r="GL15" s="706"/>
      <c r="GM15" s="659">
        <f t="shared" si="45"/>
        <v>0</v>
      </c>
      <c r="GN15" s="749">
        <f>'Проверочная  таблица'!GH15-'Проверочная  таблица'!GT15</f>
        <v>0</v>
      </c>
      <c r="GO15" s="671">
        <f>'Проверочная  таблица'!GI15-'Проверочная  таблица'!GU15</f>
        <v>0</v>
      </c>
      <c r="GP15" s="653">
        <f t="shared" si="46"/>
        <v>0</v>
      </c>
      <c r="GQ15" s="756">
        <f>'Проверочная  таблица'!GK15-'Проверочная  таблица'!GW15</f>
        <v>0</v>
      </c>
      <c r="GR15" s="768">
        <f>'Проверочная  таблица'!GL15-'Проверочная  таблица'!GX15</f>
        <v>0</v>
      </c>
      <c r="GS15" s="659">
        <f t="shared" si="47"/>
        <v>0</v>
      </c>
      <c r="GT15" s="511">
        <f>[1]Субсидия_факт!DW13</f>
        <v>0</v>
      </c>
      <c r="GU15" s="890">
        <f>[1]Субсидия_факт!EC13</f>
        <v>0</v>
      </c>
      <c r="GV15" s="659">
        <f t="shared" si="48"/>
        <v>0</v>
      </c>
      <c r="GW15" s="511"/>
      <c r="GX15" s="751"/>
      <c r="GY15" s="454">
        <f t="shared" si="49"/>
        <v>0</v>
      </c>
      <c r="GZ15" s="756">
        <f>[1]Субсидия_факт!AE13</f>
        <v>0</v>
      </c>
      <c r="HA15" s="671">
        <f>[1]Субсидия_факт!AG13</f>
        <v>0</v>
      </c>
      <c r="HB15" s="454">
        <f t="shared" si="50"/>
        <v>0</v>
      </c>
      <c r="HC15" s="756"/>
      <c r="HD15" s="671"/>
      <c r="HE15" s="747">
        <f t="shared" si="51"/>
        <v>206685.99</v>
      </c>
      <c r="HF15" s="756">
        <f>[1]Субсидия_факт!BW13</f>
        <v>0</v>
      </c>
      <c r="HG15" s="671">
        <f>[1]Субсидия_факт!CC13</f>
        <v>0</v>
      </c>
      <c r="HH15" s="511">
        <f>[1]Субсидия_факт!CU13</f>
        <v>185507.25</v>
      </c>
      <c r="HI15" s="890">
        <f>[1]Субсидия_факт!DA13</f>
        <v>21178.74</v>
      </c>
      <c r="HJ15" s="511">
        <f>[1]Субсидия_факт!DG13</f>
        <v>0</v>
      </c>
      <c r="HK15" s="890">
        <f>[1]Субсидия_факт!DM13</f>
        <v>0</v>
      </c>
      <c r="HL15" s="511">
        <f>[1]Субсидия_факт!EI13</f>
        <v>0</v>
      </c>
      <c r="HM15" s="751">
        <f>[1]Субсидия_факт!EO13</f>
        <v>0</v>
      </c>
      <c r="HN15" s="747">
        <f t="shared" si="52"/>
        <v>206685.99</v>
      </c>
      <c r="HO15" s="610"/>
      <c r="HP15" s="673"/>
      <c r="HQ15" s="756">
        <f t="shared" si="156"/>
        <v>185507.25</v>
      </c>
      <c r="HR15" s="768">
        <f t="shared" si="188"/>
        <v>21178.74</v>
      </c>
      <c r="HS15" s="756">
        <f t="shared" si="157"/>
        <v>0</v>
      </c>
      <c r="HT15" s="1480">
        <f t="shared" si="158"/>
        <v>0</v>
      </c>
      <c r="HU15" s="610"/>
      <c r="HV15" s="673"/>
      <c r="HW15" s="747">
        <f t="shared" si="53"/>
        <v>0</v>
      </c>
      <c r="HX15" s="756">
        <f>[1]Субсидия_факт!BY13</f>
        <v>0</v>
      </c>
      <c r="HY15" s="671">
        <f>[1]Субсидия_факт!CE13</f>
        <v>0</v>
      </c>
      <c r="HZ15" s="511">
        <f>[1]Субсидия_факт!CW13</f>
        <v>0</v>
      </c>
      <c r="IA15" s="751">
        <f>[1]Субсидия_факт!DC13</f>
        <v>0</v>
      </c>
      <c r="IB15" s="511">
        <f>[1]Субсидия_факт!DI13</f>
        <v>0</v>
      </c>
      <c r="IC15" s="890">
        <f>[1]Субсидия_факт!DO13</f>
        <v>0</v>
      </c>
      <c r="ID15" s="511">
        <f>[1]Субсидия_факт!EK13</f>
        <v>0</v>
      </c>
      <c r="IE15" s="751">
        <f>[1]Субсидия_факт!EQ13</f>
        <v>0</v>
      </c>
      <c r="IF15" s="747">
        <f t="shared" si="54"/>
        <v>0</v>
      </c>
      <c r="IG15" s="610"/>
      <c r="IH15" s="673"/>
      <c r="II15" s="749">
        <f t="shared" si="159"/>
        <v>0</v>
      </c>
      <c r="IJ15" s="671">
        <f t="shared" si="160"/>
        <v>0</v>
      </c>
      <c r="IK15" s="777"/>
      <c r="IL15" s="673"/>
      <c r="IM15" s="610"/>
      <c r="IN15" s="673"/>
      <c r="IO15" s="750">
        <f t="shared" si="55"/>
        <v>0</v>
      </c>
      <c r="IP15" s="756">
        <f>'Проверочная  таблица'!HX15-JH15</f>
        <v>0</v>
      </c>
      <c r="IQ15" s="671">
        <f>'Проверочная  таблица'!HY15-JI15</f>
        <v>0</v>
      </c>
      <c r="IR15" s="756">
        <f>'Проверочная  таблица'!HZ15-JJ15</f>
        <v>0</v>
      </c>
      <c r="IS15" s="671">
        <f>'Проверочная  таблица'!IA15-JK15</f>
        <v>0</v>
      </c>
      <c r="IT15" s="749">
        <f>'Проверочная  таблица'!IB15-JL15</f>
        <v>0</v>
      </c>
      <c r="IU15" s="671">
        <f>'Проверочная  таблица'!IC15-JM15</f>
        <v>0</v>
      </c>
      <c r="IV15" s="756">
        <f>'Проверочная  таблица'!ID15-JN15</f>
        <v>0</v>
      </c>
      <c r="IW15" s="671">
        <f>'Проверочная  таблица'!IE15-JO15</f>
        <v>0</v>
      </c>
      <c r="IX15" s="750">
        <f t="shared" si="56"/>
        <v>0</v>
      </c>
      <c r="IY15" s="756">
        <f>'Проверочная  таблица'!IG15-JQ15</f>
        <v>0</v>
      </c>
      <c r="IZ15" s="810">
        <f>'Проверочная  таблица'!IH15-JR15</f>
        <v>0</v>
      </c>
      <c r="JA15" s="756">
        <f>'Проверочная  таблица'!II15-JS15</f>
        <v>0</v>
      </c>
      <c r="JB15" s="768">
        <f>'Проверочная  таблица'!IJ15-JT15</f>
        <v>0</v>
      </c>
      <c r="JC15" s="756">
        <f>'Проверочная  таблица'!IK15-JU15</f>
        <v>0</v>
      </c>
      <c r="JD15" s="768">
        <f>'Проверочная  таблица'!IL15-JV15</f>
        <v>0</v>
      </c>
      <c r="JE15" s="756">
        <f>'Проверочная  таблица'!IM15-JW15</f>
        <v>0</v>
      </c>
      <c r="JF15" s="768">
        <f>'Проверочная  таблица'!IN15-JX15</f>
        <v>0</v>
      </c>
      <c r="JG15" s="659">
        <f t="shared" si="57"/>
        <v>0</v>
      </c>
      <c r="JH15" s="756">
        <f>[1]Субсидия_факт!CA13</f>
        <v>0</v>
      </c>
      <c r="JI15" s="671">
        <f>[1]Субсидия_факт!CG13</f>
        <v>0</v>
      </c>
      <c r="JJ15" s="511">
        <f>[1]Субсидия_факт!CY13</f>
        <v>0</v>
      </c>
      <c r="JK15" s="751">
        <f>[1]Субсидия_факт!DE13</f>
        <v>0</v>
      </c>
      <c r="JL15" s="511">
        <f>[1]Субсидия_факт!DK13</f>
        <v>0</v>
      </c>
      <c r="JM15" s="890">
        <f>[1]Субсидия_факт!DQ13</f>
        <v>0</v>
      </c>
      <c r="JN15" s="511">
        <f>[1]Субсидия_факт!EM13</f>
        <v>0</v>
      </c>
      <c r="JO15" s="751">
        <f>[1]Субсидия_факт!ES13</f>
        <v>0</v>
      </c>
      <c r="JP15" s="750">
        <f t="shared" si="58"/>
        <v>0</v>
      </c>
      <c r="JQ15" s="610"/>
      <c r="JR15" s="673"/>
      <c r="JS15" s="513"/>
      <c r="JT15" s="788"/>
      <c r="JU15" s="513"/>
      <c r="JV15" s="885"/>
      <c r="JW15" s="610"/>
      <c r="JX15" s="673"/>
      <c r="JY15" s="454">
        <f t="shared" si="161"/>
        <v>0</v>
      </c>
      <c r="JZ15" s="511">
        <f>[1]Субсидия_факт!BC13</f>
        <v>0</v>
      </c>
      <c r="KA15" s="890">
        <f>[1]Субсидия_факт!BE13</f>
        <v>0</v>
      </c>
      <c r="KB15" s="511">
        <f>[1]Субсидия_факт!BG13</f>
        <v>0</v>
      </c>
      <c r="KC15" s="890">
        <f>[1]Субсидия_факт!BI13</f>
        <v>0</v>
      </c>
      <c r="KD15" s="454">
        <f t="shared" si="162"/>
        <v>0</v>
      </c>
      <c r="KE15" s="610"/>
      <c r="KF15" s="673"/>
      <c r="KG15" s="610"/>
      <c r="KH15" s="673"/>
      <c r="KI15" s="524">
        <f t="shared" si="59"/>
        <v>427032.13</v>
      </c>
      <c r="KJ15" s="511">
        <f>[1]Субсидия_факт!HO13</f>
        <v>427032.13</v>
      </c>
      <c r="KK15" s="523">
        <f>[1]Субсидия_факт!HQ13</f>
        <v>0</v>
      </c>
      <c r="KL15" s="686">
        <f>[1]Субсидия_факт!HS13</f>
        <v>0</v>
      </c>
      <c r="KM15" s="636">
        <f>[1]Субсидия_факт!IC13</f>
        <v>0</v>
      </c>
      <c r="KN15" s="686">
        <f>[1]Субсидия_факт!IE13</f>
        <v>0</v>
      </c>
      <c r="KO15" s="487">
        <f t="shared" si="163"/>
        <v>427032.13</v>
      </c>
      <c r="KP15" s="756">
        <f t="shared" si="164"/>
        <v>427032.13</v>
      </c>
      <c r="KQ15" s="333"/>
      <c r="KR15" s="682"/>
      <c r="KS15" s="462"/>
      <c r="KT15" s="682"/>
      <c r="KU15" s="454">
        <f t="shared" si="60"/>
        <v>0</v>
      </c>
      <c r="KV15" s="513">
        <f>[1]Субсидия_факт!HY13</f>
        <v>0</v>
      </c>
      <c r="KW15" s="513">
        <f>[1]Субсидия_факт!HU13</f>
        <v>0</v>
      </c>
      <c r="KX15" s="751">
        <f>[1]Субсидия_факт!HW13</f>
        <v>0</v>
      </c>
      <c r="KY15" s="454">
        <f t="shared" si="61"/>
        <v>0</v>
      </c>
      <c r="KZ15" s="756">
        <f t="shared" si="165"/>
        <v>0</v>
      </c>
      <c r="LA15" s="610"/>
      <c r="LB15" s="673"/>
      <c r="LC15" s="886">
        <f t="shared" si="62"/>
        <v>0</v>
      </c>
      <c r="LD15" s="886">
        <f t="shared" si="63"/>
        <v>0</v>
      </c>
      <c r="LE15" s="657">
        <f t="shared" si="64"/>
        <v>0</v>
      </c>
      <c r="LF15" s="1038">
        <f t="shared" si="65"/>
        <v>0</v>
      </c>
      <c r="LG15" s="753">
        <f t="shared" si="166"/>
        <v>0</v>
      </c>
      <c r="LH15" s="511">
        <f>[1]Субсидия_факт!OG13</f>
        <v>0</v>
      </c>
      <c r="LI15" s="890">
        <f>[1]Субсидия_факт!OM13</f>
        <v>0</v>
      </c>
      <c r="LJ15" s="511">
        <f>[1]Субсидия_факт!OS13</f>
        <v>0</v>
      </c>
      <c r="LK15" s="890">
        <f>[1]Субсидия_факт!OY13</f>
        <v>0</v>
      </c>
      <c r="LL15" s="756">
        <f>[1]Субсидия_факт!PE13</f>
        <v>0</v>
      </c>
      <c r="LM15" s="768">
        <f>[1]Субсидия_факт!PI13</f>
        <v>0</v>
      </c>
      <c r="LN15" s="753">
        <f t="shared" si="66"/>
        <v>0</v>
      </c>
      <c r="LO15" s="777"/>
      <c r="LP15" s="673"/>
      <c r="LQ15" s="610"/>
      <c r="LR15" s="776"/>
      <c r="LS15" s="610"/>
      <c r="LT15" s="776"/>
      <c r="LU15" s="753">
        <f t="shared" si="67"/>
        <v>0</v>
      </c>
      <c r="LV15" s="511">
        <f>[1]Субсидия_факт!OI13</f>
        <v>0</v>
      </c>
      <c r="LW15" s="890">
        <f>[1]Субсидия_факт!OO13</f>
        <v>0</v>
      </c>
      <c r="LX15" s="513">
        <f>[1]Субсидия_факт!OU13</f>
        <v>0</v>
      </c>
      <c r="LY15" s="751">
        <f>[1]Субсидия_факт!PA13</f>
        <v>0</v>
      </c>
      <c r="LZ15" s="754">
        <f t="shared" si="68"/>
        <v>0</v>
      </c>
      <c r="MA15" s="610"/>
      <c r="MB15" s="776"/>
      <c r="MC15" s="610"/>
      <c r="MD15" s="673"/>
      <c r="ME15" s="652">
        <f t="shared" si="69"/>
        <v>0</v>
      </c>
      <c r="MF15" s="642">
        <f>'Проверочная  таблица'!LV15-MP15</f>
        <v>0</v>
      </c>
      <c r="MG15" s="678">
        <f>'Проверочная  таблица'!LW15-MQ15</f>
        <v>0</v>
      </c>
      <c r="MH15" s="765">
        <f>'Проверочная  таблица'!LY15-MR15</f>
        <v>0</v>
      </c>
      <c r="MI15" s="607">
        <f>'Проверочная  таблица'!LX15-MS15</f>
        <v>0</v>
      </c>
      <c r="MJ15" s="755">
        <f t="shared" si="70"/>
        <v>0</v>
      </c>
      <c r="MK15" s="749">
        <f>'Проверочная  таблица'!MA15-MU15</f>
        <v>0</v>
      </c>
      <c r="ML15" s="671">
        <f>'Проверочная  таблица'!MB15-MV15</f>
        <v>0</v>
      </c>
      <c r="MM15" s="768">
        <f>'Проверочная  таблица'!MD15-MW15</f>
        <v>0</v>
      </c>
      <c r="MN15" s="756">
        <f>'Проверочная  таблица'!MC15-MX15</f>
        <v>0</v>
      </c>
      <c r="MO15" s="779">
        <f t="shared" si="71"/>
        <v>0</v>
      </c>
      <c r="MP15" s="511">
        <f>[1]Субсидия_факт!OK13</f>
        <v>0</v>
      </c>
      <c r="MQ15" s="890">
        <f>[1]Субсидия_факт!OQ13</f>
        <v>0</v>
      </c>
      <c r="MR15" s="890">
        <f>[1]Субсидия_факт!PC13</f>
        <v>0</v>
      </c>
      <c r="MS15" s="511">
        <f>[1]Субсидия_факт!OW13</f>
        <v>0</v>
      </c>
      <c r="MT15" s="755">
        <f t="shared" si="72"/>
        <v>0</v>
      </c>
      <c r="MU15" s="749">
        <f t="shared" si="167"/>
        <v>0</v>
      </c>
      <c r="MV15" s="671">
        <f t="shared" si="168"/>
        <v>0</v>
      </c>
      <c r="MW15" s="768">
        <f t="shared" si="169"/>
        <v>0</v>
      </c>
      <c r="MX15" s="756">
        <f t="shared" si="73"/>
        <v>0</v>
      </c>
      <c r="MY15" s="524">
        <f>SUM('Проверочная  таблица'!MZ15:MZ15)</f>
        <v>0</v>
      </c>
      <c r="MZ15" s="333"/>
      <c r="NA15" s="524">
        <f>SUM('Проверочная  таблица'!NB15:NB15)</f>
        <v>0</v>
      </c>
      <c r="NB15" s="462"/>
      <c r="NC15" s="524">
        <f t="shared" si="74"/>
        <v>0</v>
      </c>
      <c r="ND15" s="452">
        <f>[1]Субсидия_факт!IU13</f>
        <v>0</v>
      </c>
      <c r="NE15" s="686">
        <f>[1]Субсидия_факт!IY13</f>
        <v>0</v>
      </c>
      <c r="NF15" s="517">
        <f t="shared" si="75"/>
        <v>0</v>
      </c>
      <c r="NG15" s="529"/>
      <c r="NH15" s="774"/>
      <c r="NI15" s="570">
        <f t="shared" si="76"/>
        <v>0</v>
      </c>
      <c r="NJ15" s="1000">
        <f>'Проверочная  таблица'!ND15-NP15</f>
        <v>0</v>
      </c>
      <c r="NK15" s="678">
        <f>'Проверочная  таблица'!NE15-NQ15</f>
        <v>0</v>
      </c>
      <c r="NL15" s="570">
        <f t="shared" si="77"/>
        <v>0</v>
      </c>
      <c r="NM15" s="476">
        <f>'Проверочная  таблица'!NG15-NS15</f>
        <v>0</v>
      </c>
      <c r="NN15" s="678">
        <f>'Проверочная  таблица'!NH15-NT15</f>
        <v>0</v>
      </c>
      <c r="NO15" s="633">
        <f t="shared" si="78"/>
        <v>0</v>
      </c>
      <c r="NP15" s="452">
        <f>[1]Субсидия_факт!IW13</f>
        <v>0</v>
      </c>
      <c r="NQ15" s="686">
        <f>[1]Субсидия_факт!JA13</f>
        <v>0</v>
      </c>
      <c r="NR15" s="570">
        <f t="shared" si="79"/>
        <v>0</v>
      </c>
      <c r="NS15" s="476"/>
      <c r="NT15" s="710"/>
      <c r="NU15" s="517">
        <f t="shared" si="170"/>
        <v>0</v>
      </c>
      <c r="NV15" s="332">
        <f>[1]Субсидия_факт!FA13</f>
        <v>0</v>
      </c>
      <c r="NW15" s="786">
        <f>[1]Субсидия_факт!FC13</f>
        <v>0</v>
      </c>
      <c r="NX15" s="517">
        <f t="shared" si="171"/>
        <v>0</v>
      </c>
      <c r="NY15" s="462"/>
      <c r="NZ15" s="682"/>
      <c r="OA15" s="517">
        <f t="shared" si="172"/>
        <v>0</v>
      </c>
      <c r="OD15" s="517">
        <f t="shared" si="173"/>
        <v>0</v>
      </c>
      <c r="OG15" s="526">
        <f t="shared" si="174"/>
        <v>0</v>
      </c>
      <c r="OJ15" s="526">
        <f t="shared" si="175"/>
        <v>0</v>
      </c>
      <c r="OM15" s="526">
        <f t="shared" si="176"/>
        <v>0</v>
      </c>
      <c r="OP15" s="526">
        <f t="shared" si="177"/>
        <v>0</v>
      </c>
      <c r="OS15" s="524">
        <f t="shared" si="80"/>
        <v>0</v>
      </c>
      <c r="OT15" s="498">
        <f>[1]Субсидия_факт!JO13</f>
        <v>0</v>
      </c>
      <c r="OU15" s="786">
        <f>[1]Субсидия_факт!JQ13</f>
        <v>0</v>
      </c>
      <c r="OV15" s="332">
        <f>[1]Субсидия_факт!KS13</f>
        <v>0</v>
      </c>
      <c r="OW15" s="686">
        <f>[1]Субсидия_факт!KY13</f>
        <v>0</v>
      </c>
      <c r="OX15" s="498">
        <f>[1]Субсидия_факт!KG13</f>
        <v>0</v>
      </c>
      <c r="OY15" s="786">
        <f>[1]Субсидия_факт!KM13</f>
        <v>0</v>
      </c>
      <c r="OZ15" s="517">
        <f t="shared" si="81"/>
        <v>0</v>
      </c>
      <c r="PA15" s="462"/>
      <c r="PB15" s="682"/>
      <c r="PC15" s="333"/>
      <c r="PD15" s="704"/>
      <c r="PE15" s="462"/>
      <c r="PF15" s="794"/>
      <c r="PG15" s="524">
        <f t="shared" si="82"/>
        <v>4562580.9799999995</v>
      </c>
      <c r="PH15" s="498">
        <f>[1]Субсидия_факт!JC13</f>
        <v>0</v>
      </c>
      <c r="PI15" s="931">
        <f>[1]Субсидия_факт!JG13</f>
        <v>0</v>
      </c>
      <c r="PJ15" s="476">
        <f>[1]Субсидия_факт!JS13</f>
        <v>1277522.67</v>
      </c>
      <c r="PK15" s="678">
        <f>[1]Субсидия_факт!JW13</f>
        <v>3285058.3099999996</v>
      </c>
      <c r="PL15" s="498">
        <f>[1]Субсидия_факт!KU13</f>
        <v>0</v>
      </c>
      <c r="PM15" s="791">
        <f>[1]Субсидия_факт!LA13</f>
        <v>0</v>
      </c>
      <c r="PN15" s="498">
        <f>[1]Субсидия_факт!KI13</f>
        <v>0</v>
      </c>
      <c r="PO15" s="686">
        <f>[1]Субсидия_факт!KO13</f>
        <v>0</v>
      </c>
      <c r="PP15" s="517">
        <f t="shared" si="83"/>
        <v>4466987.4399999995</v>
      </c>
      <c r="PQ15" s="529"/>
      <c r="PR15" s="771"/>
      <c r="PS15" s="462">
        <v>1250756.48</v>
      </c>
      <c r="PT15" s="682">
        <v>3216230.96</v>
      </c>
      <c r="PU15" s="529"/>
      <c r="PV15" s="774"/>
      <c r="PW15" s="529"/>
      <c r="PX15" s="682"/>
      <c r="PY15" s="570">
        <f t="shared" si="84"/>
        <v>4562580.9799999995</v>
      </c>
      <c r="PZ15" s="452">
        <f t="shared" si="85"/>
        <v>0</v>
      </c>
      <c r="QA15" s="686">
        <f t="shared" si="86"/>
        <v>0</v>
      </c>
      <c r="QB15" s="430">
        <f t="shared" si="87"/>
        <v>1277522.67</v>
      </c>
      <c r="QC15" s="686">
        <f t="shared" si="88"/>
        <v>3285058.3099999996</v>
      </c>
      <c r="QD15" s="332">
        <f t="shared" si="89"/>
        <v>0</v>
      </c>
      <c r="QE15" s="686">
        <f t="shared" si="90"/>
        <v>0</v>
      </c>
      <c r="QF15" s="430">
        <f t="shared" si="91"/>
        <v>0</v>
      </c>
      <c r="QG15" s="686">
        <f t="shared" si="92"/>
        <v>0</v>
      </c>
      <c r="QH15" s="633">
        <f t="shared" si="93"/>
        <v>4466987.4399999995</v>
      </c>
      <c r="QI15" s="452">
        <f t="shared" si="94"/>
        <v>0</v>
      </c>
      <c r="QJ15" s="686">
        <f t="shared" si="95"/>
        <v>0</v>
      </c>
      <c r="QK15" s="430">
        <f t="shared" si="96"/>
        <v>1250756.48</v>
      </c>
      <c r="QL15" s="686">
        <f t="shared" si="97"/>
        <v>3216230.96</v>
      </c>
      <c r="QM15" s="332">
        <f t="shared" si="98"/>
        <v>0</v>
      </c>
      <c r="QN15" s="786">
        <f t="shared" si="99"/>
        <v>0</v>
      </c>
      <c r="QO15" s="332">
        <f t="shared" si="100"/>
        <v>0</v>
      </c>
      <c r="QP15" s="686">
        <f t="shared" si="101"/>
        <v>0</v>
      </c>
      <c r="QQ15" s="570">
        <f t="shared" si="102"/>
        <v>0</v>
      </c>
      <c r="QR15" s="430">
        <f>[1]Субсидия_факт!JE13</f>
        <v>0</v>
      </c>
      <c r="QS15" s="931">
        <f>[1]Субсидия_факт!JI13</f>
        <v>0</v>
      </c>
      <c r="QT15" s="607">
        <f>[1]Субсидия_факт!JU13</f>
        <v>0</v>
      </c>
      <c r="QU15" s="678">
        <f>[1]Субсидия_факт!JY13</f>
        <v>0</v>
      </c>
      <c r="QV15" s="332">
        <f>[1]Субсидия_факт!KW13</f>
        <v>0</v>
      </c>
      <c r="QW15" s="791">
        <f>[1]Субсидия_факт!LC13</f>
        <v>0</v>
      </c>
      <c r="QX15" s="332">
        <f>[1]Субсидия_факт!KK13</f>
        <v>0</v>
      </c>
      <c r="QY15" s="686">
        <f>[1]Субсидия_факт!KQ13</f>
        <v>0</v>
      </c>
      <c r="QZ15" s="570">
        <f t="shared" si="103"/>
        <v>0</v>
      </c>
      <c r="RA15" s="530"/>
      <c r="RB15" s="678"/>
      <c r="RC15" s="462"/>
      <c r="RD15" s="682"/>
      <c r="RE15" s="530"/>
      <c r="RF15" s="794"/>
      <c r="RG15" s="529"/>
      <c r="RH15" s="765"/>
      <c r="RI15" s="487">
        <f>[1]Субсидия_факт!PW13</f>
        <v>0</v>
      </c>
      <c r="RJ15" s="1240">
        <f t="shared" si="178"/>
        <v>0</v>
      </c>
      <c r="RK15" s="522">
        <f>'Прочая  субсидия_МР  и  ГО'!B11</f>
        <v>40621392.359999999</v>
      </c>
      <c r="RL15" s="517">
        <f>'Прочая  субсидия_МР  и  ГО'!C11</f>
        <v>40196093.57</v>
      </c>
      <c r="RM15" s="522">
        <f>'Прочая  субсидия_БП'!B11</f>
        <v>43659118.560000002</v>
      </c>
      <c r="RN15" s="524">
        <f>'Прочая  субсидия_БП'!C11</f>
        <v>24693454.990000002</v>
      </c>
      <c r="RO15" s="565">
        <f>'Прочая  субсидия_БП'!D11</f>
        <v>43659118.560000002</v>
      </c>
      <c r="RP15" s="564">
        <f>'Прочая  субсидия_БП'!E11</f>
        <v>24693454.990000002</v>
      </c>
      <c r="RQ15" s="571">
        <f>'Прочая  субсидия_БП'!F11</f>
        <v>0</v>
      </c>
      <c r="RR15" s="564">
        <f>'Прочая  субсидия_БП'!G11</f>
        <v>0</v>
      </c>
      <c r="RS15" s="487">
        <f t="shared" si="104"/>
        <v>358914216</v>
      </c>
      <c r="RT15" s="452">
        <f>'Проверочная  таблица'!SR15+'Проверочная  таблица'!RY15+'Проверочная  таблица'!SA15+'Проверочная  таблица'!SC15</f>
        <v>353194482</v>
      </c>
      <c r="RU15" s="332">
        <f>'Проверочная  таблица'!SS15+'Проверочная  таблица'!SE15+'Проверочная  таблица'!SK15+'Проверочная  таблица'!SG15+'Проверочная  таблица'!SO15+'Проверочная  таблица'!SI15+SM15</f>
        <v>5719734</v>
      </c>
      <c r="RV15" s="517">
        <f t="shared" si="105"/>
        <v>266164012.06</v>
      </c>
      <c r="RW15" s="430">
        <f>'Проверочная  таблица'!SU15+'Проверочная  таблица'!RZ15+'Проверочная  таблица'!SB15+'Проверочная  таблица'!SD15</f>
        <v>261838990</v>
      </c>
      <c r="RX15" s="332">
        <f>'Проверочная  таблица'!SV15+'Проверочная  таблица'!SF15+'Проверочная  таблица'!SL15+'Проверочная  таблица'!SH15+'Проверочная  таблица'!SP15+'Проверочная  таблица'!SJ15+SN15</f>
        <v>4325022.0600000005</v>
      </c>
      <c r="RY15" s="559">
        <f>'Субвенция  на  полномочия'!B11</f>
        <v>334293482</v>
      </c>
      <c r="RZ15" s="454">
        <f>'Субвенция  на  полномочия'!C11</f>
        <v>248846990</v>
      </c>
      <c r="SA15" s="732">
        <f>[1]Субвенция_факт!P12*1000</f>
        <v>13903000</v>
      </c>
      <c r="SB15" s="1389">
        <v>9380000</v>
      </c>
      <c r="SC15" s="732">
        <f>[1]Субвенция_факт!K12*1000</f>
        <v>4156000</v>
      </c>
      <c r="SD15" s="1389">
        <v>2770000</v>
      </c>
      <c r="SE15" s="732">
        <f>[1]Субвенция_факт!AD12*1000</f>
        <v>1721100</v>
      </c>
      <c r="SF15" s="735">
        <v>1290825</v>
      </c>
      <c r="SG15" s="732">
        <f>[1]Субвенция_факт!AE12*1000</f>
        <v>0</v>
      </c>
      <c r="SH15" s="735"/>
      <c r="SI15" s="732">
        <f>[1]Субвенция_факт!E12*1000</f>
        <v>1198634.0000000002</v>
      </c>
      <c r="SJ15" s="735">
        <v>1191816</v>
      </c>
      <c r="SK15" s="732">
        <f>[1]Субвенция_факт!F12*1000</f>
        <v>0</v>
      </c>
      <c r="SL15" s="866"/>
      <c r="SM15" s="163">
        <f>[1]Субвенция_факт!G12*1000</f>
        <v>0</v>
      </c>
      <c r="SN15" s="867"/>
      <c r="SO15" s="732">
        <f>[1]Субвенция_факт!H12*1000</f>
        <v>0</v>
      </c>
      <c r="SP15" s="735"/>
      <c r="SQ15" s="524">
        <f t="shared" si="106"/>
        <v>3642000</v>
      </c>
      <c r="SR15" s="865">
        <f>[1]Субвенция_факт!AC12*1000</f>
        <v>842000</v>
      </c>
      <c r="SS15" s="1040">
        <f>[1]Субвенция_факт!AB12*1000</f>
        <v>2800000</v>
      </c>
      <c r="ST15" s="517">
        <f t="shared" si="107"/>
        <v>2684381.06</v>
      </c>
      <c r="SU15" s="1503">
        <v>842000</v>
      </c>
      <c r="SV15" s="1506">
        <v>1842381.06</v>
      </c>
      <c r="SW15" s="271">
        <f>'Проверочная  таблица'!VC15+'Проверочная  таблица'!UY15+'Проверочная  таблица'!TQ15+'Проверочная  таблица'!TU15+SY15+'Проверочная  таблица'!US15+UC15+UI15</f>
        <v>0</v>
      </c>
      <c r="SX15" s="163">
        <f>'Проверочная  таблица'!VE15+'Проверочная  таблица'!VA15+'Проверочная  таблица'!TS15+'Проверочная  таблица'!TW15+TH15+'Проверочная  таблица'!UV15+UF15+UL15</f>
        <v>0</v>
      </c>
      <c r="SY15" s="1129">
        <f t="shared" si="108"/>
        <v>0</v>
      </c>
      <c r="SZ15" s="1114">
        <f>'[1]Иные межбюджетные трансферты'!O13</f>
        <v>0</v>
      </c>
      <c r="TA15" s="1111">
        <f>'[1]Иные межбюджетные трансферты'!Q13</f>
        <v>0</v>
      </c>
      <c r="TB15" s="879">
        <f>'[1]Иные межбюджетные трансферты'!I13</f>
        <v>0</v>
      </c>
      <c r="TC15" s="1111">
        <f>'[1]Иные межбюджетные трансферты'!K13</f>
        <v>0</v>
      </c>
      <c r="TD15" s="879">
        <f>'[1]Иные межбюджетные трансферты'!S13</f>
        <v>0</v>
      </c>
      <c r="TE15" s="958">
        <f>'[1]Иные межбюджетные трансферты'!U13</f>
        <v>0</v>
      </c>
      <c r="TF15" s="1236">
        <f>'[1]Иные межбюджетные трансферты'!M13</f>
        <v>0</v>
      </c>
      <c r="TG15" s="1231">
        <f>'[1]Иные межбюджетные трансферты'!W13</f>
        <v>0</v>
      </c>
      <c r="TH15" s="991">
        <f t="shared" si="109"/>
        <v>0</v>
      </c>
      <c r="TI15" s="984"/>
      <c r="TJ15" s="982"/>
      <c r="TK15" s="879"/>
      <c r="TL15" s="958"/>
      <c r="TM15" s="879"/>
      <c r="TN15" s="958"/>
      <c r="TO15" s="984"/>
      <c r="TP15" s="1269"/>
      <c r="TQ15" s="973">
        <f t="shared" si="179"/>
        <v>0</v>
      </c>
      <c r="TR15" s="1458">
        <f>'[1]Иные межбюджетные трансферты'!Y13</f>
        <v>0</v>
      </c>
      <c r="TS15" s="973">
        <f t="shared" si="179"/>
        <v>0</v>
      </c>
      <c r="TT15" s="958"/>
      <c r="TU15" s="973">
        <f t="shared" ref="TU15" si="190">TV15</f>
        <v>0</v>
      </c>
      <c r="TV15" s="958">
        <f>'[1]Иные межбюджетные трансферты'!AA13</f>
        <v>0</v>
      </c>
      <c r="TW15" s="973">
        <f t="shared" si="110"/>
        <v>0</v>
      </c>
      <c r="TX15" s="1111"/>
      <c r="TY15" s="976">
        <f t="shared" si="111"/>
        <v>0</v>
      </c>
      <c r="TZ15" s="970">
        <f t="shared" si="112"/>
        <v>0</v>
      </c>
      <c r="UA15" s="1266">
        <f t="shared" si="181"/>
        <v>0</v>
      </c>
      <c r="UB15" s="976">
        <f t="shared" si="182"/>
        <v>0</v>
      </c>
      <c r="UC15" s="973">
        <f t="shared" si="113"/>
        <v>0</v>
      </c>
      <c r="UD15" s="1272">
        <f>'[1]Иные межбюджетные трансферты'!AE13</f>
        <v>0</v>
      </c>
      <c r="UE15" s="1145">
        <f>'[1]Иные межбюджетные трансферты'!AK13</f>
        <v>0</v>
      </c>
      <c r="UF15" s="973">
        <f t="shared" si="114"/>
        <v>0</v>
      </c>
      <c r="UG15" s="958"/>
      <c r="UH15" s="958"/>
      <c r="UI15" s="973">
        <f t="shared" si="115"/>
        <v>0</v>
      </c>
      <c r="UJ15" s="1272">
        <f>'[1]Иные межбюджетные трансферты'!AG13</f>
        <v>0</v>
      </c>
      <c r="UK15" s="1145">
        <f>'[1]Иные межбюджетные трансферты'!AM13</f>
        <v>0</v>
      </c>
      <c r="UL15" s="973">
        <f t="shared" si="116"/>
        <v>0</v>
      </c>
      <c r="UM15" s="958"/>
      <c r="UN15" s="1111"/>
      <c r="UO15" s="976">
        <f t="shared" si="183"/>
        <v>0</v>
      </c>
      <c r="UP15" s="970">
        <f t="shared" si="184"/>
        <v>0</v>
      </c>
      <c r="UQ15" s="970">
        <f t="shared" si="185"/>
        <v>0</v>
      </c>
      <c r="UR15" s="1462">
        <f t="shared" si="186"/>
        <v>0</v>
      </c>
      <c r="US15" s="1263">
        <f t="shared" si="117"/>
        <v>0</v>
      </c>
      <c r="UT15" s="1040">
        <f>'[1]Иные межбюджетные трансферты'!E13</f>
        <v>0</v>
      </c>
      <c r="UU15" s="1126">
        <f>'[1]Иные межбюджетные трансферты'!G13</f>
        <v>0</v>
      </c>
      <c r="UV15" s="733">
        <f t="shared" si="118"/>
        <v>0</v>
      </c>
      <c r="UW15" s="1040"/>
      <c r="UX15" s="1126"/>
      <c r="UY15" s="880">
        <f t="shared" si="119"/>
        <v>0</v>
      </c>
      <c r="UZ15" s="958"/>
      <c r="VA15" s="1039">
        <f t="shared" si="120"/>
        <v>0</v>
      </c>
      <c r="VB15" s="890"/>
      <c r="VC15" s="510">
        <f t="shared" si="121"/>
        <v>0</v>
      </c>
      <c r="VD15" s="874">
        <f>'[1]Иные межбюджетные трансферты'!AS13</f>
        <v>0</v>
      </c>
      <c r="VE15" s="510">
        <f t="shared" si="122"/>
        <v>0</v>
      </c>
      <c r="VF15" s="513"/>
      <c r="VG15" s="886">
        <f t="shared" si="123"/>
        <v>0</v>
      </c>
      <c r="VH15" s="511">
        <f>'Проверочная  таблица'!VD15-VL15</f>
        <v>0</v>
      </c>
      <c r="VI15" s="886">
        <f t="shared" si="124"/>
        <v>0</v>
      </c>
      <c r="VJ15" s="511">
        <f>'Проверочная  таблица'!VF15-VN15</f>
        <v>0</v>
      </c>
      <c r="VK15" s="886">
        <f t="shared" si="125"/>
        <v>0</v>
      </c>
      <c r="VL15" s="874">
        <f>'[1]Иные межбюджетные трансферты'!AU13</f>
        <v>0</v>
      </c>
      <c r="VM15" s="1038">
        <f t="shared" si="126"/>
        <v>0</v>
      </c>
      <c r="VN15" s="513"/>
      <c r="VO15" s="517">
        <f>VQ15+'Проверочная  таблица'!VY15+VU15+'Проверочная  таблица'!WC15+VW15+'Проверочная  таблица'!WE15</f>
        <v>-6150000</v>
      </c>
      <c r="VP15" s="517">
        <f>VR15+'Проверочная  таблица'!VZ15+VV15+'Проверочная  таблица'!WD15+VX15+'Проверочная  таблица'!WF15</f>
        <v>-4250000</v>
      </c>
      <c r="VQ15" s="531"/>
      <c r="VR15" s="531"/>
      <c r="VS15" s="531">
        <v>1100000</v>
      </c>
      <c r="VT15" s="531">
        <v>1100000</v>
      </c>
      <c r="VU15" s="528">
        <f t="shared" si="127"/>
        <v>1100000</v>
      </c>
      <c r="VV15" s="526">
        <f t="shared" si="128"/>
        <v>1100000</v>
      </c>
      <c r="VW15" s="532"/>
      <c r="VX15" s="521"/>
      <c r="VY15" s="531">
        <v>-2750000</v>
      </c>
      <c r="VZ15" s="531">
        <v>-2750000</v>
      </c>
      <c r="WA15" s="531">
        <v>-4500000</v>
      </c>
      <c r="WB15" s="531">
        <f>-1000000-1600000</f>
        <v>-2600000</v>
      </c>
      <c r="WC15" s="528">
        <f t="shared" si="129"/>
        <v>-4500000</v>
      </c>
      <c r="WD15" s="526">
        <f t="shared" si="130"/>
        <v>-2600000</v>
      </c>
      <c r="WE15" s="521"/>
      <c r="WF15" s="521"/>
      <c r="WG15" s="1356">
        <f>'Проверочная  таблица'!VY15+'Проверочная  таблица'!WA15</f>
        <v>-7250000</v>
      </c>
      <c r="WH15" s="1356">
        <f>'Проверочная  таблица'!VZ15+'Проверочная  таблица'!WB15</f>
        <v>-5350000</v>
      </c>
      <c r="WI15" s="1481"/>
    </row>
    <row r="16" spans="1:607" s="329" customFormat="1" ht="25.5" customHeight="1" x14ac:dyDescent="0.3">
      <c r="A16" s="339" t="s">
        <v>92</v>
      </c>
      <c r="B16" s="524">
        <f>D16+AI16+'Проверочная  таблица'!RS16+'Проверочная  таблица'!SW16</f>
        <v>683696262.16999996</v>
      </c>
      <c r="C16" s="517">
        <f>E16+'Проверочная  таблица'!RV16+AJ16+'Проверочная  таблица'!SX16</f>
        <v>500117012.72999996</v>
      </c>
      <c r="D16" s="522">
        <f t="shared" si="0"/>
        <v>140097015</v>
      </c>
      <c r="E16" s="524">
        <f t="shared" si="1"/>
        <v>104929657</v>
      </c>
      <c r="F16" s="1062">
        <f>'[1]Дотация  из  ОБ_факт'!I12+'[1]Дотация  из  ОБ_факт'!Q12</f>
        <v>39063200</v>
      </c>
      <c r="G16" s="1366">
        <v>32922406</v>
      </c>
      <c r="H16" s="563">
        <f>'[1]Дотация  из  ОБ_факт'!K12</f>
        <v>24436400</v>
      </c>
      <c r="I16" s="1366">
        <v>18327300</v>
      </c>
      <c r="J16" s="564">
        <f t="shared" si="2"/>
        <v>24436400</v>
      </c>
      <c r="K16" s="571">
        <f t="shared" si="3"/>
        <v>18327300</v>
      </c>
      <c r="L16" s="883">
        <f>'[1]Дотация  из  ОБ_факт'!O12</f>
        <v>0</v>
      </c>
      <c r="M16" s="745"/>
      <c r="N16" s="563">
        <f>'[1]Дотация  из  ОБ_факт'!U12</f>
        <v>36614048</v>
      </c>
      <c r="O16" s="1366">
        <v>22903509</v>
      </c>
      <c r="P16" s="784">
        <f>'[1]Дотация  из  ОБ_факт'!W12</f>
        <v>37504700</v>
      </c>
      <c r="Q16" s="1366">
        <v>28297775</v>
      </c>
      <c r="R16" s="571">
        <f t="shared" si="4"/>
        <v>37504700</v>
      </c>
      <c r="S16" s="564">
        <f t="shared" si="5"/>
        <v>28297775</v>
      </c>
      <c r="T16" s="1059">
        <f>'[1]Дотация  из  ОБ_факт'!AA12</f>
        <v>0</v>
      </c>
      <c r="U16" s="331"/>
      <c r="V16" s="784">
        <f>'[1]Дотация  из  ОБ_факт'!AE12+'[1]Дотация  из  ОБ_факт'!AG12+'[1]Дотация  из  ОБ_факт'!AK12</f>
        <v>978667</v>
      </c>
      <c r="W16" s="163">
        <f t="shared" si="6"/>
        <v>978667</v>
      </c>
      <c r="X16" s="567"/>
      <c r="Y16" s="566"/>
      <c r="Z16" s="567">
        <v>978667</v>
      </c>
      <c r="AA16" s="563">
        <f>'[1]Дотация  из  ОБ_факт'!AC12+'[1]Дотация  из  ОБ_факт'!AI12</f>
        <v>1500000</v>
      </c>
      <c r="AB16" s="165">
        <f t="shared" si="7"/>
        <v>1500000</v>
      </c>
      <c r="AC16" s="566">
        <v>1500000</v>
      </c>
      <c r="AD16" s="567"/>
      <c r="AE16" s="564">
        <f t="shared" si="8"/>
        <v>1500000</v>
      </c>
      <c r="AF16" s="571">
        <f t="shared" si="9"/>
        <v>1500000</v>
      </c>
      <c r="AG16" s="565">
        <f>'[1]Дотация  из  ОБ_факт'!AI12</f>
        <v>0</v>
      </c>
      <c r="AH16" s="1370">
        <f t="shared" si="131"/>
        <v>0</v>
      </c>
      <c r="AI16" s="559">
        <f>'Проверочная  таблица'!KI16+NU16+OA16+'Проверочная  таблица'!RK16+'Проверочная  таблица'!RM16+DE16+DG16+DM16+DO16+'Проверочная  таблица'!MY16+'Проверочная  таблица'!NC16+CG16+CQ16+'Проверочная  таблица'!HE16+'Проверочная  таблица'!HW16+'Проверочная  таблица'!ES16+'Проверочная  таблица'!JY16+DU16+'Проверочная  таблица'!GA16+'Проверочная  таблица'!GG16+'Проверочная  таблица'!LG16+'Проверочная  таблица'!LU16+FU16+'Проверочная  таблица'!KU16+RI16+OS16+PG16+EK16+AK16+AW16+FO16+FE16+GY16+EY16</f>
        <v>216085941.16999996</v>
      </c>
      <c r="AJ16" s="487">
        <f>'Проверочная  таблица'!KO16+NX16+OD16+'Проверочная  таблица'!RL16+'Проверочная  таблица'!RN16+DF16+DH16+DN16+DP16+'Проверочная  таблица'!NA16+'Проверочная  таблица'!NF16+CL16+CV16+'Проверочная  таблица'!HN16+'Проверочная  таблица'!IF16+'Проверочная  таблица'!EV16+'Проверочная  таблица'!KD16+EC16+'Проверочная  таблица'!GD16+'Проверочная  таблица'!GJ16+'Проверочная  таблица'!LN16+'Проверочная  таблица'!LZ16+FX16+'Проверочная  таблица'!KY16+FR16+RJ16+PP16+OZ16+EM16+AQ16+BC16+FJ16+HB16+FB16</f>
        <v>149958718.69999999</v>
      </c>
      <c r="AK16" s="487">
        <f t="shared" si="10"/>
        <v>0</v>
      </c>
      <c r="AL16" s="332">
        <f>[1]Субсидия_факт!CO14</f>
        <v>0</v>
      </c>
      <c r="AM16" s="523">
        <f>[1]Субсидия_факт!FK14</f>
        <v>0</v>
      </c>
      <c r="AN16" s="498">
        <f>[1]Субсидия_факт!FW14</f>
        <v>0</v>
      </c>
      <c r="AO16" s="523">
        <f>[1]Субсидия_факт!KA14</f>
        <v>0</v>
      </c>
      <c r="AP16" s="332">
        <f>[1]Субсидия_факт!LE14</f>
        <v>0</v>
      </c>
      <c r="AQ16" s="487">
        <f t="shared" si="11"/>
        <v>0</v>
      </c>
      <c r="AR16" s="462"/>
      <c r="AS16" s="462"/>
      <c r="AT16" s="462"/>
      <c r="AU16" s="462"/>
      <c r="AV16" s="462"/>
      <c r="AW16" s="487">
        <f t="shared" si="132"/>
        <v>0</v>
      </c>
      <c r="AX16" s="452">
        <f>[1]Субсидия_факт!CQ14</f>
        <v>0</v>
      </c>
      <c r="AY16" s="332">
        <f>[1]Субсидия_факт!FO14</f>
        <v>0</v>
      </c>
      <c r="AZ16" s="476">
        <f>[1]Субсидия_факт!JK14</f>
        <v>0</v>
      </c>
      <c r="BA16" s="496">
        <f>[1]Субсидия_факт!KC14</f>
        <v>0</v>
      </c>
      <c r="BB16" s="498">
        <f>[1]Субсидия_факт!LG14</f>
        <v>0</v>
      </c>
      <c r="BC16" s="487">
        <f t="shared" si="133"/>
        <v>0</v>
      </c>
      <c r="BD16" s="529"/>
      <c r="BE16" s="529"/>
      <c r="BF16" s="333"/>
      <c r="BG16" s="530"/>
      <c r="BH16" s="529"/>
      <c r="BI16" s="657">
        <f t="shared" si="134"/>
        <v>0</v>
      </c>
      <c r="BJ16" s="1025">
        <f t="shared" si="12"/>
        <v>0</v>
      </c>
      <c r="BK16" s="452">
        <f t="shared" si="13"/>
        <v>0</v>
      </c>
      <c r="BL16" s="452">
        <f t="shared" si="14"/>
        <v>0</v>
      </c>
      <c r="BM16" s="332">
        <f t="shared" si="15"/>
        <v>0</v>
      </c>
      <c r="BN16" s="488">
        <f t="shared" si="16"/>
        <v>0</v>
      </c>
      <c r="BO16" s="657">
        <f t="shared" si="135"/>
        <v>0</v>
      </c>
      <c r="BP16" s="607">
        <f t="shared" si="17"/>
        <v>0</v>
      </c>
      <c r="BQ16" s="496">
        <f t="shared" si="18"/>
        <v>0</v>
      </c>
      <c r="BR16" s="332">
        <f t="shared" si="19"/>
        <v>0</v>
      </c>
      <c r="BS16" s="430">
        <f t="shared" si="20"/>
        <v>0</v>
      </c>
      <c r="BT16" s="332">
        <f t="shared" si="21"/>
        <v>0</v>
      </c>
      <c r="BU16" s="657">
        <f t="shared" si="136"/>
        <v>0</v>
      </c>
      <c r="BV16" s="452">
        <f>[1]Субсидия_факт!CS14</f>
        <v>0</v>
      </c>
      <c r="BW16" s="332">
        <f>[1]Субсидия_факт!FQ14</f>
        <v>0</v>
      </c>
      <c r="BX16" s="476">
        <f>[1]Субсидия_факт!JM14</f>
        <v>0</v>
      </c>
      <c r="BY16" s="430">
        <f>[1]Субсидия_факт!KE14</f>
        <v>0</v>
      </c>
      <c r="BZ16" s="332">
        <f>[1]Субсидия_факт!LI14</f>
        <v>0</v>
      </c>
      <c r="CA16" s="659">
        <f t="shared" si="137"/>
        <v>0</v>
      </c>
      <c r="CB16" s="782"/>
      <c r="CC16" s="529"/>
      <c r="CD16" s="462"/>
      <c r="CE16" s="529"/>
      <c r="CF16" s="529"/>
      <c r="CG16" s="517">
        <f t="shared" si="22"/>
        <v>25793492</v>
      </c>
      <c r="CH16" s="430">
        <f>[1]Субсидия_факт!LM14</f>
        <v>0</v>
      </c>
      <c r="CI16" s="452">
        <f>[1]Субсидия_факт!LS14</f>
        <v>25793492</v>
      </c>
      <c r="CJ16" s="332">
        <f>[1]Субсидия_факт!ME14</f>
        <v>0</v>
      </c>
      <c r="CK16" s="511">
        <f>[1]Субсидия_факт!MK14</f>
        <v>0</v>
      </c>
      <c r="CL16" s="517">
        <f t="shared" si="23"/>
        <v>19394779.09</v>
      </c>
      <c r="CM16" s="529"/>
      <c r="CN16" s="529">
        <v>19394779.09</v>
      </c>
      <c r="CO16" s="529"/>
      <c r="CP16" s="610"/>
      <c r="CQ16" s="517">
        <f t="shared" si="24"/>
        <v>0</v>
      </c>
      <c r="CR16" s="452">
        <f>[1]Субсидия_факт!LO14</f>
        <v>0</v>
      </c>
      <c r="CS16" s="452">
        <f>[1]Субсидия_факт!LU14</f>
        <v>0</v>
      </c>
      <c r="CT16" s="332">
        <f>[1]Субсидия_факт!MG14</f>
        <v>0</v>
      </c>
      <c r="CU16" s="511">
        <f>[1]Субсидия_факт!MM14</f>
        <v>0</v>
      </c>
      <c r="CV16" s="517">
        <f t="shared" si="25"/>
        <v>0</v>
      </c>
      <c r="CW16" s="529"/>
      <c r="CX16" s="530"/>
      <c r="CY16" s="782"/>
      <c r="CZ16" s="719"/>
      <c r="DA16" s="528">
        <f t="shared" si="138"/>
        <v>0</v>
      </c>
      <c r="DB16" s="526">
        <f t="shared" si="139"/>
        <v>0</v>
      </c>
      <c r="DC16" s="525">
        <f t="shared" si="140"/>
        <v>0</v>
      </c>
      <c r="DD16" s="528">
        <f t="shared" si="141"/>
        <v>0</v>
      </c>
      <c r="DE16" s="524">
        <f>[1]Субсидия_факт!GC14</f>
        <v>0</v>
      </c>
      <c r="DF16" s="330"/>
      <c r="DG16" s="522">
        <f>[1]Субсидия_факт!GE14</f>
        <v>0</v>
      </c>
      <c r="DH16" s="330"/>
      <c r="DI16" s="757">
        <f t="shared" si="142"/>
        <v>0</v>
      </c>
      <c r="DJ16" s="570">
        <f t="shared" si="143"/>
        <v>0</v>
      </c>
      <c r="DK16" s="757">
        <f>[1]Субсидия_факт!GG14</f>
        <v>0</v>
      </c>
      <c r="DL16" s="1387">
        <f t="shared" si="144"/>
        <v>0</v>
      </c>
      <c r="DM16" s="516">
        <f>[1]Субсидия_факт!GI14</f>
        <v>0</v>
      </c>
      <c r="DN16" s="604"/>
      <c r="DO16" s="517">
        <f>[1]Субсидия_факт!GK14</f>
        <v>0</v>
      </c>
      <c r="DP16" s="604"/>
      <c r="DQ16" s="526">
        <f t="shared" si="28"/>
        <v>0</v>
      </c>
      <c r="DR16" s="526">
        <f t="shared" si="29"/>
        <v>0</v>
      </c>
      <c r="DS16" s="653">
        <f t="shared" si="30"/>
        <v>0</v>
      </c>
      <c r="DT16" s="1385">
        <f t="shared" si="145"/>
        <v>0</v>
      </c>
      <c r="DU16" s="517">
        <f t="shared" si="31"/>
        <v>0</v>
      </c>
      <c r="DV16" s="523">
        <f>[1]Субсидия_факт!E14</f>
        <v>0</v>
      </c>
      <c r="DW16" s="1025">
        <f>[1]Субсидия_факт!G14</f>
        <v>0</v>
      </c>
      <c r="DX16" s="678">
        <f>[1]Субсидия_факт!I14</f>
        <v>0</v>
      </c>
      <c r="DY16" s="636">
        <f>[1]Субсидия_факт!K14</f>
        <v>0</v>
      </c>
      <c r="DZ16" s="786">
        <f>[1]Субсидия_факт!M14</f>
        <v>0</v>
      </c>
      <c r="EA16" s="498">
        <f>[1]Субсидия_факт!O14</f>
        <v>0</v>
      </c>
      <c r="EB16" s="636">
        <f>[1]Субсидия_факт!Q14</f>
        <v>0</v>
      </c>
      <c r="EC16" s="516">
        <f t="shared" si="32"/>
        <v>0</v>
      </c>
      <c r="ED16" s="530"/>
      <c r="EE16" s="529"/>
      <c r="EF16" s="682"/>
      <c r="EG16" s="529"/>
      <c r="EH16" s="682"/>
      <c r="EI16" s="530"/>
      <c r="EJ16" s="607">
        <f t="shared" si="146"/>
        <v>0</v>
      </c>
      <c r="EK16" s="516">
        <f t="shared" si="147"/>
        <v>0</v>
      </c>
      <c r="EL16" s="1223">
        <f>[1]Субсидия_факт!S14</f>
        <v>0</v>
      </c>
      <c r="EM16" s="524">
        <f t="shared" si="147"/>
        <v>0</v>
      </c>
      <c r="EN16" s="607">
        <f t="shared" si="148"/>
        <v>0</v>
      </c>
      <c r="EO16" s="570">
        <f t="shared" si="149"/>
        <v>0</v>
      </c>
      <c r="EP16" s="633">
        <f t="shared" si="150"/>
        <v>0</v>
      </c>
      <c r="EQ16" s="633">
        <f>[1]Субсидия_факт!U14</f>
        <v>0</v>
      </c>
      <c r="ER16" s="1245">
        <f t="shared" si="151"/>
        <v>0</v>
      </c>
      <c r="ES16" s="487">
        <f t="shared" si="33"/>
        <v>0</v>
      </c>
      <c r="ET16" s="511">
        <f>[1]Субсидия_факт!AU14</f>
        <v>0</v>
      </c>
      <c r="EU16" s="890">
        <f>[1]Субсидия_факт!AW14</f>
        <v>0</v>
      </c>
      <c r="EV16" s="454">
        <f t="shared" si="34"/>
        <v>0</v>
      </c>
      <c r="EW16" s="777"/>
      <c r="EX16" s="1095"/>
      <c r="EY16" s="487">
        <f t="shared" si="35"/>
        <v>0</v>
      </c>
      <c r="EZ16" s="511">
        <f>[1]Субсидия_факт!FY14</f>
        <v>0</v>
      </c>
      <c r="FA16" s="890">
        <f>[1]Субсидия_факт!GA14</f>
        <v>0</v>
      </c>
      <c r="FB16" s="454">
        <f t="shared" si="36"/>
        <v>0</v>
      </c>
      <c r="FC16" s="777"/>
      <c r="FD16" s="1095"/>
      <c r="FE16" s="517">
        <f t="shared" si="152"/>
        <v>0</v>
      </c>
      <c r="FF16" s="430">
        <f>[1]Субсидия_факт!W14</f>
        <v>0</v>
      </c>
      <c r="FG16" s="931">
        <f>[1]Субсидия_факт!Y14</f>
        <v>0</v>
      </c>
      <c r="FH16" s="452">
        <f>[1]Субсидия_факт!AA14</f>
        <v>0</v>
      </c>
      <c r="FI16" s="686">
        <f>[1]Субсидия_факт!AC14</f>
        <v>0</v>
      </c>
      <c r="FJ16" s="516">
        <f t="shared" si="153"/>
        <v>0</v>
      </c>
      <c r="FK16" s="462"/>
      <c r="FL16" s="682"/>
      <c r="FM16" s="462"/>
      <c r="FN16" s="682"/>
      <c r="FO16" s="487">
        <f t="shared" si="37"/>
        <v>0</v>
      </c>
      <c r="FP16" s="511">
        <f>[1]Субсидия_факт!AY14</f>
        <v>0</v>
      </c>
      <c r="FQ16" s="890">
        <f>[1]Субсидия_факт!BA14</f>
        <v>0</v>
      </c>
      <c r="FR16" s="454">
        <f t="shared" si="38"/>
        <v>0</v>
      </c>
      <c r="FS16" s="777"/>
      <c r="FT16" s="673"/>
      <c r="FU16" s="524">
        <f t="shared" si="154"/>
        <v>0</v>
      </c>
      <c r="FV16" s="498">
        <f>[1]Субсидия_факт!EE14</f>
        <v>0</v>
      </c>
      <c r="FW16" s="686">
        <f>[1]Субсидия_факт!EG14</f>
        <v>0</v>
      </c>
      <c r="FX16" s="517">
        <f t="shared" si="155"/>
        <v>0</v>
      </c>
      <c r="FY16" s="529"/>
      <c r="FZ16" s="704"/>
      <c r="GA16" s="559">
        <f t="shared" si="41"/>
        <v>1348233</v>
      </c>
      <c r="GB16" s="511">
        <f>[1]Субсидия_факт!DS14</f>
        <v>377507.09</v>
      </c>
      <c r="GC16" s="890">
        <f>[1]Субсидия_факт!DY14</f>
        <v>970725.91</v>
      </c>
      <c r="GD16" s="454">
        <f t="shared" si="42"/>
        <v>1348233</v>
      </c>
      <c r="GE16" s="1290">
        <f t="shared" si="187"/>
        <v>377507.09</v>
      </c>
      <c r="GF16" s="671">
        <f t="shared" si="187"/>
        <v>970725.91</v>
      </c>
      <c r="GG16" s="454">
        <f t="shared" si="43"/>
        <v>0</v>
      </c>
      <c r="GH16" s="511">
        <f>[1]Субсидия_факт!DU14</f>
        <v>0</v>
      </c>
      <c r="GI16" s="751">
        <f>[1]Субсидия_факт!EA14</f>
        <v>0</v>
      </c>
      <c r="GJ16" s="454">
        <f t="shared" si="44"/>
        <v>0</v>
      </c>
      <c r="GK16" s="610"/>
      <c r="GL16" s="706"/>
      <c r="GM16" s="659">
        <f t="shared" si="45"/>
        <v>0</v>
      </c>
      <c r="GN16" s="749">
        <f>'Проверочная  таблица'!GH16-'Проверочная  таблица'!GT16</f>
        <v>0</v>
      </c>
      <c r="GO16" s="671">
        <f>'Проверочная  таблица'!GI16-'Проверочная  таблица'!GU16</f>
        <v>0</v>
      </c>
      <c r="GP16" s="653">
        <f t="shared" si="46"/>
        <v>0</v>
      </c>
      <c r="GQ16" s="756">
        <f>'Проверочная  таблица'!GK16-'Проверочная  таблица'!GW16</f>
        <v>0</v>
      </c>
      <c r="GR16" s="768">
        <f>'Проверочная  таблица'!GL16-'Проверочная  таблица'!GX16</f>
        <v>0</v>
      </c>
      <c r="GS16" s="659">
        <f t="shared" si="47"/>
        <v>0</v>
      </c>
      <c r="GT16" s="511">
        <f>[1]Субсидия_факт!DW14</f>
        <v>0</v>
      </c>
      <c r="GU16" s="890">
        <f>[1]Субсидия_факт!EC14</f>
        <v>0</v>
      </c>
      <c r="GV16" s="659">
        <f t="shared" si="48"/>
        <v>0</v>
      </c>
      <c r="GW16" s="511"/>
      <c r="GX16" s="751"/>
      <c r="GY16" s="454">
        <f t="shared" si="49"/>
        <v>0</v>
      </c>
      <c r="GZ16" s="756">
        <f>[1]Субсидия_факт!AE14</f>
        <v>0</v>
      </c>
      <c r="HA16" s="671">
        <f>[1]Субсидия_факт!AG14</f>
        <v>0</v>
      </c>
      <c r="HB16" s="454">
        <f t="shared" si="50"/>
        <v>0</v>
      </c>
      <c r="HC16" s="756"/>
      <c r="HD16" s="671"/>
      <c r="HE16" s="747">
        <f t="shared" si="51"/>
        <v>121105.06999999999</v>
      </c>
      <c r="HF16" s="756">
        <f>[1]Субсидия_факт!BW14</f>
        <v>0</v>
      </c>
      <c r="HG16" s="671">
        <f>[1]Субсидия_факт!CC14</f>
        <v>0</v>
      </c>
      <c r="HH16" s="511">
        <f>[1]Субсидия_факт!CU14</f>
        <v>108695.65</v>
      </c>
      <c r="HI16" s="890">
        <f>[1]Субсидия_факт!DA14</f>
        <v>12409.42</v>
      </c>
      <c r="HJ16" s="511">
        <f>[1]Субсидия_факт!DG14</f>
        <v>0</v>
      </c>
      <c r="HK16" s="890">
        <f>[1]Субсидия_факт!DM14</f>
        <v>0</v>
      </c>
      <c r="HL16" s="511">
        <f>[1]Субсидия_факт!EI14</f>
        <v>0</v>
      </c>
      <c r="HM16" s="751">
        <f>[1]Субсидия_факт!EO14</f>
        <v>0</v>
      </c>
      <c r="HN16" s="747">
        <f t="shared" si="52"/>
        <v>121105.06999999999</v>
      </c>
      <c r="HO16" s="610"/>
      <c r="HP16" s="673"/>
      <c r="HQ16" s="756">
        <f t="shared" si="156"/>
        <v>108695.65</v>
      </c>
      <c r="HR16" s="768">
        <f t="shared" si="188"/>
        <v>12409.42</v>
      </c>
      <c r="HS16" s="756">
        <f t="shared" si="157"/>
        <v>0</v>
      </c>
      <c r="HT16" s="1480">
        <f t="shared" si="158"/>
        <v>0</v>
      </c>
      <c r="HU16" s="610"/>
      <c r="HV16" s="673"/>
      <c r="HW16" s="747">
        <f t="shared" si="53"/>
        <v>0</v>
      </c>
      <c r="HX16" s="756">
        <f>[1]Субсидия_факт!BY14</f>
        <v>0</v>
      </c>
      <c r="HY16" s="671">
        <f>[1]Субсидия_факт!CE14</f>
        <v>0</v>
      </c>
      <c r="HZ16" s="511">
        <f>[1]Субсидия_факт!CW14</f>
        <v>0</v>
      </c>
      <c r="IA16" s="751">
        <f>[1]Субсидия_факт!DC14</f>
        <v>0</v>
      </c>
      <c r="IB16" s="511">
        <f>[1]Субсидия_факт!DI14</f>
        <v>0</v>
      </c>
      <c r="IC16" s="890">
        <f>[1]Субсидия_факт!DO14</f>
        <v>0</v>
      </c>
      <c r="ID16" s="511">
        <f>[1]Субсидия_факт!EK14</f>
        <v>0</v>
      </c>
      <c r="IE16" s="751">
        <f>[1]Субсидия_факт!EQ14</f>
        <v>0</v>
      </c>
      <c r="IF16" s="747">
        <f t="shared" si="54"/>
        <v>0</v>
      </c>
      <c r="IG16" s="610"/>
      <c r="IH16" s="673"/>
      <c r="II16" s="749">
        <f t="shared" si="159"/>
        <v>0</v>
      </c>
      <c r="IJ16" s="671">
        <f t="shared" si="160"/>
        <v>0</v>
      </c>
      <c r="IK16" s="777"/>
      <c r="IL16" s="673"/>
      <c r="IM16" s="610"/>
      <c r="IN16" s="673"/>
      <c r="IO16" s="750">
        <f t="shared" si="55"/>
        <v>0</v>
      </c>
      <c r="IP16" s="756">
        <f>'Проверочная  таблица'!HX16-JH16</f>
        <v>0</v>
      </c>
      <c r="IQ16" s="671">
        <f>'Проверочная  таблица'!HY16-JI16</f>
        <v>0</v>
      </c>
      <c r="IR16" s="756">
        <f>'Проверочная  таблица'!HZ16-JJ16</f>
        <v>0</v>
      </c>
      <c r="IS16" s="671">
        <f>'Проверочная  таблица'!IA16-JK16</f>
        <v>0</v>
      </c>
      <c r="IT16" s="749">
        <f>'Проверочная  таблица'!IB16-JL16</f>
        <v>0</v>
      </c>
      <c r="IU16" s="671">
        <f>'Проверочная  таблица'!IC16-JM16</f>
        <v>0</v>
      </c>
      <c r="IV16" s="756">
        <f>'Проверочная  таблица'!ID16-JN16</f>
        <v>0</v>
      </c>
      <c r="IW16" s="671">
        <f>'Проверочная  таблица'!IE16-JO16</f>
        <v>0</v>
      </c>
      <c r="IX16" s="750">
        <f t="shared" si="56"/>
        <v>0</v>
      </c>
      <c r="IY16" s="756">
        <f>'Проверочная  таблица'!IG16-JQ16</f>
        <v>0</v>
      </c>
      <c r="IZ16" s="810">
        <f>'Проверочная  таблица'!IH16-JR16</f>
        <v>0</v>
      </c>
      <c r="JA16" s="756">
        <f>'Проверочная  таблица'!II16-JS16</f>
        <v>0</v>
      </c>
      <c r="JB16" s="768">
        <f>'Проверочная  таблица'!IJ16-JT16</f>
        <v>0</v>
      </c>
      <c r="JC16" s="756">
        <f>'Проверочная  таблица'!IK16-JU16</f>
        <v>0</v>
      </c>
      <c r="JD16" s="768">
        <f>'Проверочная  таблица'!IL16-JV16</f>
        <v>0</v>
      </c>
      <c r="JE16" s="756">
        <f>'Проверочная  таблица'!IM16-JW16</f>
        <v>0</v>
      </c>
      <c r="JF16" s="768">
        <f>'Проверочная  таблица'!IN16-JX16</f>
        <v>0</v>
      </c>
      <c r="JG16" s="659">
        <f t="shared" si="57"/>
        <v>0</v>
      </c>
      <c r="JH16" s="756">
        <f>[1]Субсидия_факт!CA14</f>
        <v>0</v>
      </c>
      <c r="JI16" s="671">
        <f>[1]Субсидия_факт!CG14</f>
        <v>0</v>
      </c>
      <c r="JJ16" s="511">
        <f>[1]Субсидия_факт!CY14</f>
        <v>0</v>
      </c>
      <c r="JK16" s="751">
        <f>[1]Субсидия_факт!DE14</f>
        <v>0</v>
      </c>
      <c r="JL16" s="511">
        <f>[1]Субсидия_факт!DK14</f>
        <v>0</v>
      </c>
      <c r="JM16" s="890">
        <f>[1]Субсидия_факт!DQ14</f>
        <v>0</v>
      </c>
      <c r="JN16" s="511">
        <f>[1]Субсидия_факт!EM14</f>
        <v>0</v>
      </c>
      <c r="JO16" s="751">
        <f>[1]Субсидия_факт!ES14</f>
        <v>0</v>
      </c>
      <c r="JP16" s="750">
        <f t="shared" si="58"/>
        <v>0</v>
      </c>
      <c r="JQ16" s="610"/>
      <c r="JR16" s="673"/>
      <c r="JS16" s="513"/>
      <c r="JT16" s="788"/>
      <c r="JU16" s="513"/>
      <c r="JV16" s="885"/>
      <c r="JW16" s="610"/>
      <c r="JX16" s="673"/>
      <c r="JY16" s="454">
        <f t="shared" si="161"/>
        <v>0</v>
      </c>
      <c r="JZ16" s="511">
        <f>[1]Субсидия_факт!BC14</f>
        <v>0</v>
      </c>
      <c r="KA16" s="890">
        <f>[1]Субсидия_факт!BE14</f>
        <v>0</v>
      </c>
      <c r="KB16" s="511">
        <f>[1]Субсидия_факт!BG14</f>
        <v>0</v>
      </c>
      <c r="KC16" s="890">
        <f>[1]Субсидия_факт!BI14</f>
        <v>0</v>
      </c>
      <c r="KD16" s="454">
        <f t="shared" si="162"/>
        <v>0</v>
      </c>
      <c r="KE16" s="610"/>
      <c r="KF16" s="673"/>
      <c r="KG16" s="610"/>
      <c r="KH16" s="673"/>
      <c r="KI16" s="524">
        <f t="shared" si="59"/>
        <v>0</v>
      </c>
      <c r="KJ16" s="511">
        <f>[1]Субсидия_факт!HO14</f>
        <v>0</v>
      </c>
      <c r="KK16" s="523">
        <f>[1]Субсидия_факт!HQ14</f>
        <v>0</v>
      </c>
      <c r="KL16" s="686">
        <f>[1]Субсидия_факт!HS14</f>
        <v>0</v>
      </c>
      <c r="KM16" s="636">
        <f>[1]Субсидия_факт!IC14</f>
        <v>0</v>
      </c>
      <c r="KN16" s="686">
        <f>[1]Субсидия_факт!IE14</f>
        <v>0</v>
      </c>
      <c r="KO16" s="487">
        <f t="shared" si="163"/>
        <v>0</v>
      </c>
      <c r="KP16" s="756">
        <f t="shared" si="164"/>
        <v>0</v>
      </c>
      <c r="KQ16" s="333"/>
      <c r="KR16" s="682"/>
      <c r="KS16" s="462"/>
      <c r="KT16" s="682"/>
      <c r="KU16" s="454">
        <f t="shared" si="60"/>
        <v>0</v>
      </c>
      <c r="KV16" s="513">
        <f>[1]Субсидия_факт!HY14</f>
        <v>0</v>
      </c>
      <c r="KW16" s="513">
        <f>[1]Субсидия_факт!HU14</f>
        <v>0</v>
      </c>
      <c r="KX16" s="751">
        <f>[1]Субсидия_факт!HW14</f>
        <v>0</v>
      </c>
      <c r="KY16" s="454">
        <f t="shared" si="61"/>
        <v>0</v>
      </c>
      <c r="KZ16" s="756">
        <f t="shared" si="165"/>
        <v>0</v>
      </c>
      <c r="LA16" s="610"/>
      <c r="LB16" s="673"/>
      <c r="LC16" s="886">
        <f t="shared" si="62"/>
        <v>0</v>
      </c>
      <c r="LD16" s="886">
        <f t="shared" si="63"/>
        <v>0</v>
      </c>
      <c r="LE16" s="657">
        <f t="shared" si="64"/>
        <v>0</v>
      </c>
      <c r="LF16" s="1038">
        <f t="shared" si="65"/>
        <v>0</v>
      </c>
      <c r="LG16" s="753">
        <f t="shared" si="166"/>
        <v>0</v>
      </c>
      <c r="LH16" s="511">
        <f>[1]Субсидия_факт!OG14</f>
        <v>0</v>
      </c>
      <c r="LI16" s="890">
        <f>[1]Субсидия_факт!OM14</f>
        <v>0</v>
      </c>
      <c r="LJ16" s="511">
        <f>[1]Субсидия_факт!OS14</f>
        <v>0</v>
      </c>
      <c r="LK16" s="890">
        <f>[1]Субсидия_факт!OY14</f>
        <v>0</v>
      </c>
      <c r="LL16" s="756">
        <f>[1]Субсидия_факт!PE14</f>
        <v>0</v>
      </c>
      <c r="LM16" s="768">
        <f>[1]Субсидия_факт!PI14</f>
        <v>0</v>
      </c>
      <c r="LN16" s="753">
        <f t="shared" si="66"/>
        <v>0</v>
      </c>
      <c r="LO16" s="777"/>
      <c r="LP16" s="673"/>
      <c r="LQ16" s="610"/>
      <c r="LR16" s="776"/>
      <c r="LS16" s="610"/>
      <c r="LT16" s="776"/>
      <c r="LU16" s="753">
        <f t="shared" si="67"/>
        <v>0</v>
      </c>
      <c r="LV16" s="511">
        <f>[1]Субсидия_факт!OI14</f>
        <v>0</v>
      </c>
      <c r="LW16" s="890">
        <f>[1]Субсидия_факт!OO14</f>
        <v>0</v>
      </c>
      <c r="LX16" s="513">
        <f>[1]Субсидия_факт!OU14</f>
        <v>0</v>
      </c>
      <c r="LY16" s="751">
        <f>[1]Субсидия_факт!PA14</f>
        <v>0</v>
      </c>
      <c r="LZ16" s="754">
        <f t="shared" si="68"/>
        <v>0</v>
      </c>
      <c r="MA16" s="610"/>
      <c r="MB16" s="776"/>
      <c r="MC16" s="610"/>
      <c r="MD16" s="673"/>
      <c r="ME16" s="652">
        <f t="shared" si="69"/>
        <v>0</v>
      </c>
      <c r="MF16" s="642">
        <f>'Проверочная  таблица'!LV16-MP16</f>
        <v>0</v>
      </c>
      <c r="MG16" s="678">
        <f>'Проверочная  таблица'!LW16-MQ16</f>
        <v>0</v>
      </c>
      <c r="MH16" s="765">
        <f>'Проверочная  таблица'!LY16-MR16</f>
        <v>0</v>
      </c>
      <c r="MI16" s="607">
        <f>'Проверочная  таблица'!LX16-MS16</f>
        <v>0</v>
      </c>
      <c r="MJ16" s="755">
        <f t="shared" si="70"/>
        <v>0</v>
      </c>
      <c r="MK16" s="749">
        <f>'Проверочная  таблица'!MA16-MU16</f>
        <v>0</v>
      </c>
      <c r="ML16" s="671">
        <f>'Проверочная  таблица'!MB16-MV16</f>
        <v>0</v>
      </c>
      <c r="MM16" s="768">
        <f>'Проверочная  таблица'!MD16-MW16</f>
        <v>0</v>
      </c>
      <c r="MN16" s="756">
        <f>'Проверочная  таблица'!MC16-MX16</f>
        <v>0</v>
      </c>
      <c r="MO16" s="779">
        <f t="shared" si="71"/>
        <v>0</v>
      </c>
      <c r="MP16" s="511">
        <f>[1]Субсидия_факт!OK14</f>
        <v>0</v>
      </c>
      <c r="MQ16" s="890">
        <f>[1]Субсидия_факт!OQ14</f>
        <v>0</v>
      </c>
      <c r="MR16" s="890">
        <f>[1]Субсидия_факт!PC14</f>
        <v>0</v>
      </c>
      <c r="MS16" s="511">
        <f>[1]Субсидия_факт!OW14</f>
        <v>0</v>
      </c>
      <c r="MT16" s="755">
        <f t="shared" si="72"/>
        <v>0</v>
      </c>
      <c r="MU16" s="749">
        <f t="shared" si="167"/>
        <v>0</v>
      </c>
      <c r="MV16" s="671">
        <f t="shared" si="168"/>
        <v>0</v>
      </c>
      <c r="MW16" s="768">
        <f t="shared" si="169"/>
        <v>0</v>
      </c>
      <c r="MX16" s="756">
        <f t="shared" si="73"/>
        <v>0</v>
      </c>
      <c r="MY16" s="524">
        <f>SUM('Проверочная  таблица'!MZ16:MZ16)</f>
        <v>0</v>
      </c>
      <c r="MZ16" s="333"/>
      <c r="NA16" s="524">
        <f>SUM('Проверочная  таблица'!NB16:NB16)</f>
        <v>0</v>
      </c>
      <c r="NB16" s="462"/>
      <c r="NC16" s="524">
        <f t="shared" si="74"/>
        <v>0</v>
      </c>
      <c r="ND16" s="452">
        <f>[1]Субсидия_факт!IU14</f>
        <v>0</v>
      </c>
      <c r="NE16" s="686">
        <f>[1]Субсидия_факт!IY14</f>
        <v>0</v>
      </c>
      <c r="NF16" s="517">
        <f t="shared" si="75"/>
        <v>0</v>
      </c>
      <c r="NG16" s="529"/>
      <c r="NH16" s="774"/>
      <c r="NI16" s="570">
        <f t="shared" si="76"/>
        <v>0</v>
      </c>
      <c r="NJ16" s="1000">
        <f>'Проверочная  таблица'!ND16-NP16</f>
        <v>0</v>
      </c>
      <c r="NK16" s="678">
        <f>'Проверочная  таблица'!NE16-NQ16</f>
        <v>0</v>
      </c>
      <c r="NL16" s="570">
        <f t="shared" si="77"/>
        <v>0</v>
      </c>
      <c r="NM16" s="476">
        <f>'Проверочная  таблица'!NG16-NS16</f>
        <v>0</v>
      </c>
      <c r="NN16" s="678">
        <f>'Проверочная  таблица'!NH16-NT16</f>
        <v>0</v>
      </c>
      <c r="NO16" s="633">
        <f t="shared" si="78"/>
        <v>0</v>
      </c>
      <c r="NP16" s="452">
        <f>[1]Субсидия_факт!IW14</f>
        <v>0</v>
      </c>
      <c r="NQ16" s="686">
        <f>[1]Субсидия_факт!JA14</f>
        <v>0</v>
      </c>
      <c r="NR16" s="570">
        <f t="shared" si="79"/>
        <v>0</v>
      </c>
      <c r="NS16" s="476"/>
      <c r="NT16" s="710"/>
      <c r="NU16" s="517">
        <f t="shared" si="170"/>
        <v>0</v>
      </c>
      <c r="NV16" s="332">
        <f>[1]Субсидия_факт!FA14</f>
        <v>0</v>
      </c>
      <c r="NW16" s="786">
        <f>[1]Субсидия_факт!FC14</f>
        <v>0</v>
      </c>
      <c r="NX16" s="517">
        <f t="shared" si="171"/>
        <v>0</v>
      </c>
      <c r="NY16" s="462"/>
      <c r="NZ16" s="682"/>
      <c r="OA16" s="517">
        <f t="shared" si="172"/>
        <v>0</v>
      </c>
      <c r="OD16" s="517">
        <f t="shared" si="173"/>
        <v>0</v>
      </c>
      <c r="OG16" s="526">
        <f t="shared" si="174"/>
        <v>0</v>
      </c>
      <c r="OJ16" s="526">
        <f t="shared" si="175"/>
        <v>0</v>
      </c>
      <c r="OM16" s="526">
        <f t="shared" si="176"/>
        <v>0</v>
      </c>
      <c r="OP16" s="526">
        <f t="shared" si="177"/>
        <v>0</v>
      </c>
      <c r="OS16" s="524">
        <f t="shared" si="80"/>
        <v>0</v>
      </c>
      <c r="OT16" s="498">
        <f>[1]Субсидия_факт!JO14</f>
        <v>0</v>
      </c>
      <c r="OU16" s="786">
        <f>[1]Субсидия_факт!JQ14</f>
        <v>0</v>
      </c>
      <c r="OV16" s="332">
        <f>[1]Субсидия_факт!KS14</f>
        <v>0</v>
      </c>
      <c r="OW16" s="686">
        <f>[1]Субсидия_факт!KY14</f>
        <v>0</v>
      </c>
      <c r="OX16" s="498">
        <f>[1]Субсидия_факт!KG14</f>
        <v>0</v>
      </c>
      <c r="OY16" s="786">
        <f>[1]Субсидия_факт!KM14</f>
        <v>0</v>
      </c>
      <c r="OZ16" s="517">
        <f t="shared" si="81"/>
        <v>0</v>
      </c>
      <c r="PA16" s="462"/>
      <c r="PB16" s="682"/>
      <c r="PC16" s="333"/>
      <c r="PD16" s="704"/>
      <c r="PE16" s="462"/>
      <c r="PF16" s="794"/>
      <c r="PG16" s="524">
        <f t="shared" si="82"/>
        <v>40664583.329999998</v>
      </c>
      <c r="PH16" s="498">
        <f>[1]Субсидия_факт!JC14</f>
        <v>11386083.33</v>
      </c>
      <c r="PI16" s="931">
        <f>[1]Субсидия_факт!JG14</f>
        <v>29278500</v>
      </c>
      <c r="PJ16" s="476">
        <f>[1]Субсидия_факт!JS14</f>
        <v>0</v>
      </c>
      <c r="PK16" s="678">
        <f>[1]Субсидия_факт!JW14</f>
        <v>0</v>
      </c>
      <c r="PL16" s="498">
        <f>[1]Субсидия_факт!KU14</f>
        <v>0</v>
      </c>
      <c r="PM16" s="791">
        <f>[1]Субсидия_факт!LA14</f>
        <v>0</v>
      </c>
      <c r="PN16" s="498">
        <f>[1]Субсидия_факт!KI14</f>
        <v>0</v>
      </c>
      <c r="PO16" s="686">
        <f>[1]Субсидия_факт!KO14</f>
        <v>0</v>
      </c>
      <c r="PP16" s="517">
        <f t="shared" si="83"/>
        <v>33705955.770000003</v>
      </c>
      <c r="PQ16" s="529">
        <v>9437667.6100000031</v>
      </c>
      <c r="PR16" s="771">
        <v>24268288.16</v>
      </c>
      <c r="PS16" s="462"/>
      <c r="PT16" s="682"/>
      <c r="PU16" s="529"/>
      <c r="PV16" s="774"/>
      <c r="PW16" s="529"/>
      <c r="PX16" s="682"/>
      <c r="PY16" s="570">
        <f t="shared" si="84"/>
        <v>40664583.329999998</v>
      </c>
      <c r="PZ16" s="452">
        <f t="shared" si="85"/>
        <v>11386083.33</v>
      </c>
      <c r="QA16" s="686">
        <f t="shared" si="86"/>
        <v>29278500</v>
      </c>
      <c r="QB16" s="430">
        <f t="shared" si="87"/>
        <v>0</v>
      </c>
      <c r="QC16" s="686">
        <f t="shared" si="88"/>
        <v>0</v>
      </c>
      <c r="QD16" s="332">
        <f t="shared" si="89"/>
        <v>0</v>
      </c>
      <c r="QE16" s="686">
        <f t="shared" si="90"/>
        <v>0</v>
      </c>
      <c r="QF16" s="430">
        <f t="shared" si="91"/>
        <v>0</v>
      </c>
      <c r="QG16" s="686">
        <f t="shared" si="92"/>
        <v>0</v>
      </c>
      <c r="QH16" s="633">
        <f t="shared" si="93"/>
        <v>33705955.770000003</v>
      </c>
      <c r="QI16" s="452">
        <f t="shared" si="94"/>
        <v>9437667.6100000031</v>
      </c>
      <c r="QJ16" s="686">
        <f t="shared" si="95"/>
        <v>24268288.16</v>
      </c>
      <c r="QK16" s="430">
        <f t="shared" si="96"/>
        <v>0</v>
      </c>
      <c r="QL16" s="686">
        <f t="shared" si="97"/>
        <v>0</v>
      </c>
      <c r="QM16" s="332">
        <f t="shared" si="98"/>
        <v>0</v>
      </c>
      <c r="QN16" s="786">
        <f t="shared" si="99"/>
        <v>0</v>
      </c>
      <c r="QO16" s="332">
        <f t="shared" si="100"/>
        <v>0</v>
      </c>
      <c r="QP16" s="686">
        <f t="shared" si="101"/>
        <v>0</v>
      </c>
      <c r="QQ16" s="570">
        <f t="shared" si="102"/>
        <v>0</v>
      </c>
      <c r="QR16" s="430">
        <f>[1]Субсидия_факт!JE14</f>
        <v>0</v>
      </c>
      <c r="QS16" s="931">
        <f>[1]Субсидия_факт!JI14</f>
        <v>0</v>
      </c>
      <c r="QT16" s="607">
        <f>[1]Субсидия_факт!JU14</f>
        <v>0</v>
      </c>
      <c r="QU16" s="678">
        <f>[1]Субсидия_факт!JY14</f>
        <v>0</v>
      </c>
      <c r="QV16" s="332">
        <f>[1]Субсидия_факт!KW14</f>
        <v>0</v>
      </c>
      <c r="QW16" s="791">
        <f>[1]Субсидия_факт!LC14</f>
        <v>0</v>
      </c>
      <c r="QX16" s="332">
        <f>[1]Субсидия_факт!KK14</f>
        <v>0</v>
      </c>
      <c r="QY16" s="686">
        <f>[1]Субсидия_факт!KQ14</f>
        <v>0</v>
      </c>
      <c r="QZ16" s="570">
        <f t="shared" si="103"/>
        <v>0</v>
      </c>
      <c r="RA16" s="530"/>
      <c r="RB16" s="678"/>
      <c r="RC16" s="462"/>
      <c r="RD16" s="682"/>
      <c r="RE16" s="530"/>
      <c r="RF16" s="794"/>
      <c r="RG16" s="529"/>
      <c r="RH16" s="765"/>
      <c r="RI16" s="487">
        <f>[1]Субсидия_факт!PW14</f>
        <v>25381106.920000002</v>
      </c>
      <c r="RJ16" s="1240">
        <f t="shared" si="178"/>
        <v>25381106.920000002</v>
      </c>
      <c r="RK16" s="522">
        <f>'Прочая  субсидия_МР  и  ГО'!B12</f>
        <v>38183272.310000002</v>
      </c>
      <c r="RL16" s="517">
        <f>'Прочая  субсидия_МР  и  ГО'!C12</f>
        <v>19328104.309999999</v>
      </c>
      <c r="RM16" s="522">
        <f>'Прочая  субсидия_БП'!B12</f>
        <v>84594148.539999992</v>
      </c>
      <c r="RN16" s="524">
        <f>'Прочая  субсидия_БП'!C12</f>
        <v>50679434.539999999</v>
      </c>
      <c r="RO16" s="565">
        <f>'Прочая  субсидия_БП'!D12</f>
        <v>84594148.539999992</v>
      </c>
      <c r="RP16" s="564">
        <f>'Прочая  субсидия_БП'!E12</f>
        <v>50679434.539999999</v>
      </c>
      <c r="RQ16" s="571">
        <f>'Прочая  субсидия_БП'!F12</f>
        <v>0</v>
      </c>
      <c r="RR16" s="564">
        <f>'Прочая  субсидия_БП'!G12</f>
        <v>0</v>
      </c>
      <c r="RS16" s="487">
        <f t="shared" si="104"/>
        <v>327513306</v>
      </c>
      <c r="RT16" s="452">
        <f>'Проверочная  таблица'!SR16+'Проверочная  таблица'!RY16+'Проверочная  таблица'!SA16+'Проверочная  таблица'!SC16</f>
        <v>322681918</v>
      </c>
      <c r="RU16" s="332">
        <f>'Проверочная  таблица'!SS16+'Проверочная  таблица'!SE16+'Проверочная  таблица'!SK16+'Проверочная  таблица'!SG16+'Проверочная  таблица'!SO16+'Проверочная  таблица'!SI16+SM16</f>
        <v>4831388</v>
      </c>
      <c r="RV16" s="517">
        <f t="shared" si="105"/>
        <v>245228637.03</v>
      </c>
      <c r="RW16" s="430">
        <f>'Проверочная  таблица'!SU16+'Проверочная  таблица'!RZ16+'Проверочная  таблица'!SB16+'Проверочная  таблица'!SD16</f>
        <v>242466976</v>
      </c>
      <c r="RX16" s="332">
        <f>'Проверочная  таблица'!SV16+'Проверочная  таблица'!SF16+'Проверочная  таблица'!SL16+'Проверочная  таблица'!SH16+'Проверочная  таблица'!SP16+'Проверочная  таблица'!SJ16+SN16</f>
        <v>2761661.0300000003</v>
      </c>
      <c r="RY16" s="559">
        <f>'Субвенция  на  полномочия'!B12</f>
        <v>301703918</v>
      </c>
      <c r="RZ16" s="454">
        <f>'Субвенция  на  полномочия'!C12</f>
        <v>228554976</v>
      </c>
      <c r="SA16" s="732">
        <f>[1]Субвенция_факт!P13*1000</f>
        <v>15392000</v>
      </c>
      <c r="SB16" s="1389">
        <v>9330000</v>
      </c>
      <c r="SC16" s="732">
        <f>[1]Субвенция_факт!K13*1000</f>
        <v>4724000</v>
      </c>
      <c r="SD16" s="1389">
        <v>3720000</v>
      </c>
      <c r="SE16" s="732">
        <f>[1]Субвенция_факт!AD13*1000</f>
        <v>1594800</v>
      </c>
      <c r="SF16" s="735">
        <v>1057717.74</v>
      </c>
      <c r="SG16" s="732">
        <f>[1]Субвенция_факт!AE13*1000</f>
        <v>4000</v>
      </c>
      <c r="SH16" s="735"/>
      <c r="SI16" s="732">
        <f>[1]Субвенция_факт!E13*1000</f>
        <v>1282588</v>
      </c>
      <c r="SJ16" s="735"/>
      <c r="SK16" s="732">
        <f>[1]Субвенция_факт!F13*1000</f>
        <v>0</v>
      </c>
      <c r="SL16" s="866"/>
      <c r="SM16" s="163">
        <f>[1]Субвенция_факт!G13*1000</f>
        <v>0</v>
      </c>
      <c r="SN16" s="867"/>
      <c r="SO16" s="732">
        <f>[1]Субвенция_факт!H13*1000</f>
        <v>0</v>
      </c>
      <c r="SP16" s="735"/>
      <c r="SQ16" s="524">
        <f t="shared" si="106"/>
        <v>2812000</v>
      </c>
      <c r="SR16" s="865">
        <f>[1]Субвенция_факт!AC13*1000</f>
        <v>862000</v>
      </c>
      <c r="SS16" s="1040">
        <f>[1]Субвенция_факт!AB13*1000</f>
        <v>1950000</v>
      </c>
      <c r="ST16" s="517">
        <f t="shared" si="107"/>
        <v>2565943.29</v>
      </c>
      <c r="SU16" s="1503">
        <v>862000</v>
      </c>
      <c r="SV16" s="1506">
        <v>1703943.29</v>
      </c>
      <c r="SW16" s="271">
        <f>'Проверочная  таблица'!VC16+'Проверочная  таблица'!UY16+'Проверочная  таблица'!TQ16+'Проверочная  таблица'!TU16+SY16+'Проверочная  таблица'!US16+UC16+UI16</f>
        <v>0</v>
      </c>
      <c r="SX16" s="163">
        <f>'Проверочная  таблица'!VE16+'Проверочная  таблица'!VA16+'Проверочная  таблица'!TS16+'Проверочная  таблица'!TW16+TH16+'Проверочная  таблица'!UV16+UF16+UL16</f>
        <v>0</v>
      </c>
      <c r="SY16" s="1129">
        <f t="shared" si="108"/>
        <v>0</v>
      </c>
      <c r="SZ16" s="1114">
        <f>'[1]Иные межбюджетные трансферты'!O14</f>
        <v>0</v>
      </c>
      <c r="TA16" s="1111">
        <f>'[1]Иные межбюджетные трансферты'!Q14</f>
        <v>0</v>
      </c>
      <c r="TB16" s="879">
        <f>'[1]Иные межбюджетные трансферты'!I14</f>
        <v>0</v>
      </c>
      <c r="TC16" s="1111">
        <f>'[1]Иные межбюджетные трансферты'!K14</f>
        <v>0</v>
      </c>
      <c r="TD16" s="879">
        <f>'[1]Иные межбюджетные трансферты'!S14</f>
        <v>0</v>
      </c>
      <c r="TE16" s="958">
        <f>'[1]Иные межбюджетные трансферты'!U14</f>
        <v>0</v>
      </c>
      <c r="TF16" s="1236">
        <f>'[1]Иные межбюджетные трансферты'!M14</f>
        <v>0</v>
      </c>
      <c r="TG16" s="1231">
        <f>'[1]Иные межбюджетные трансферты'!W14</f>
        <v>0</v>
      </c>
      <c r="TH16" s="991">
        <f t="shared" si="109"/>
        <v>0</v>
      </c>
      <c r="TI16" s="984"/>
      <c r="TJ16" s="982"/>
      <c r="TK16" s="879"/>
      <c r="TL16" s="958"/>
      <c r="TM16" s="879"/>
      <c r="TN16" s="958"/>
      <c r="TO16" s="984"/>
      <c r="TP16" s="1269"/>
      <c r="TQ16" s="973">
        <f t="shared" si="179"/>
        <v>0</v>
      </c>
      <c r="TR16" s="1458">
        <f>'[1]Иные межбюджетные трансферты'!Y14</f>
        <v>0</v>
      </c>
      <c r="TS16" s="973">
        <f t="shared" si="179"/>
        <v>0</v>
      </c>
      <c r="TT16" s="958"/>
      <c r="TU16" s="973">
        <f t="shared" ref="TU16" si="191">TV16</f>
        <v>0</v>
      </c>
      <c r="TV16" s="958">
        <f>'[1]Иные межбюджетные трансферты'!AA14</f>
        <v>0</v>
      </c>
      <c r="TW16" s="973">
        <f t="shared" si="110"/>
        <v>0</v>
      </c>
      <c r="TX16" s="1111"/>
      <c r="TY16" s="976">
        <f t="shared" si="111"/>
        <v>0</v>
      </c>
      <c r="TZ16" s="970">
        <f t="shared" si="112"/>
        <v>0</v>
      </c>
      <c r="UA16" s="1266">
        <f t="shared" si="181"/>
        <v>0</v>
      </c>
      <c r="UB16" s="976">
        <f t="shared" si="182"/>
        <v>0</v>
      </c>
      <c r="UC16" s="973">
        <f t="shared" si="113"/>
        <v>0</v>
      </c>
      <c r="UD16" s="1272">
        <f>'[1]Иные межбюджетные трансферты'!AE14</f>
        <v>0</v>
      </c>
      <c r="UE16" s="1145">
        <f>'[1]Иные межбюджетные трансферты'!AK14</f>
        <v>0</v>
      </c>
      <c r="UF16" s="973">
        <f t="shared" si="114"/>
        <v>0</v>
      </c>
      <c r="UG16" s="958"/>
      <c r="UH16" s="958"/>
      <c r="UI16" s="973">
        <f t="shared" si="115"/>
        <v>0</v>
      </c>
      <c r="UJ16" s="1272">
        <f>'[1]Иные межбюджетные трансферты'!AG14</f>
        <v>0</v>
      </c>
      <c r="UK16" s="1145">
        <f>'[1]Иные межбюджетные трансферты'!AM14</f>
        <v>0</v>
      </c>
      <c r="UL16" s="973">
        <f t="shared" si="116"/>
        <v>0</v>
      </c>
      <c r="UM16" s="958"/>
      <c r="UN16" s="1111"/>
      <c r="UO16" s="976">
        <f t="shared" si="183"/>
        <v>0</v>
      </c>
      <c r="UP16" s="970">
        <f t="shared" si="184"/>
        <v>0</v>
      </c>
      <c r="UQ16" s="970">
        <f t="shared" si="185"/>
        <v>0</v>
      </c>
      <c r="UR16" s="1462">
        <f t="shared" si="186"/>
        <v>0</v>
      </c>
      <c r="US16" s="1263">
        <f t="shared" si="117"/>
        <v>0</v>
      </c>
      <c r="UT16" s="1040">
        <f>'[1]Иные межбюджетные трансферты'!E14</f>
        <v>0</v>
      </c>
      <c r="UU16" s="1126">
        <f>'[1]Иные межбюджетные трансферты'!G14</f>
        <v>0</v>
      </c>
      <c r="UV16" s="733">
        <f t="shared" si="118"/>
        <v>0</v>
      </c>
      <c r="UW16" s="1040"/>
      <c r="UX16" s="1126"/>
      <c r="UY16" s="880">
        <f t="shared" si="119"/>
        <v>0</v>
      </c>
      <c r="UZ16" s="958"/>
      <c r="VA16" s="1039">
        <f t="shared" si="120"/>
        <v>0</v>
      </c>
      <c r="VB16" s="890"/>
      <c r="VC16" s="510">
        <f t="shared" si="121"/>
        <v>0</v>
      </c>
      <c r="VD16" s="874">
        <f>'[1]Иные межбюджетные трансферты'!AS14</f>
        <v>0</v>
      </c>
      <c r="VE16" s="510">
        <f t="shared" si="122"/>
        <v>0</v>
      </c>
      <c r="VF16" s="513"/>
      <c r="VG16" s="886">
        <f t="shared" si="123"/>
        <v>0</v>
      </c>
      <c r="VH16" s="511">
        <f>'Проверочная  таблица'!VD16-VL16</f>
        <v>0</v>
      </c>
      <c r="VI16" s="886">
        <f t="shared" si="124"/>
        <v>0</v>
      </c>
      <c r="VJ16" s="511">
        <f>'Проверочная  таблица'!VF16-VN16</f>
        <v>0</v>
      </c>
      <c r="VK16" s="886">
        <f t="shared" si="125"/>
        <v>0</v>
      </c>
      <c r="VL16" s="874">
        <f>'[1]Иные межбюджетные трансферты'!AU14</f>
        <v>0</v>
      </c>
      <c r="VM16" s="1038">
        <f t="shared" si="126"/>
        <v>0</v>
      </c>
      <c r="VN16" s="513"/>
      <c r="VO16" s="517">
        <f>VQ16+'Проверочная  таблица'!VY16+VU16+'Проверочная  таблица'!WC16+VW16+'Проверочная  таблица'!WE16</f>
        <v>-11200000</v>
      </c>
      <c r="VP16" s="517">
        <f>VR16+'Проверочная  таблица'!VZ16+VV16+'Проверочная  таблица'!WD16+VX16+'Проверочная  таблица'!WF16</f>
        <v>-1500000</v>
      </c>
      <c r="VQ16" s="531">
        <v>12000000</v>
      </c>
      <c r="VR16" s="531">
        <v>12000000</v>
      </c>
      <c r="VS16" s="531">
        <v>1000000</v>
      </c>
      <c r="VT16" s="531">
        <v>1000000</v>
      </c>
      <c r="VU16" s="528">
        <f t="shared" si="127"/>
        <v>1000000</v>
      </c>
      <c r="VV16" s="526">
        <f t="shared" si="128"/>
        <v>1000000</v>
      </c>
      <c r="VW16" s="532"/>
      <c r="VX16" s="521"/>
      <c r="VY16" s="531">
        <v>-24200000</v>
      </c>
      <c r="VZ16" s="531">
        <v>-14500000</v>
      </c>
      <c r="WA16" s="531"/>
      <c r="WB16" s="531"/>
      <c r="WC16" s="528">
        <f t="shared" si="129"/>
        <v>0</v>
      </c>
      <c r="WD16" s="526">
        <f t="shared" si="130"/>
        <v>0</v>
      </c>
      <c r="WE16" s="521"/>
      <c r="WF16" s="521"/>
      <c r="WG16" s="1356">
        <f>'Проверочная  таблица'!VY16+'Проверочная  таблица'!WA16</f>
        <v>-24200000</v>
      </c>
      <c r="WH16" s="1356">
        <f>'Проверочная  таблица'!VZ16+'Проверочная  таблица'!WB16</f>
        <v>-14500000</v>
      </c>
      <c r="WI16" s="1481"/>
    </row>
    <row r="17" spans="1:607" s="329" customFormat="1" ht="25.5" customHeight="1" x14ac:dyDescent="0.3">
      <c r="A17" s="338" t="s">
        <v>93</v>
      </c>
      <c r="B17" s="524">
        <f>D17+AI17+'Проверочная  таблица'!RS17+'Проверочная  таблица'!SW17</f>
        <v>416586893.06</v>
      </c>
      <c r="C17" s="517">
        <f>E17+'Проверочная  таблица'!RV17+AJ17+'Проверочная  таблица'!SX17</f>
        <v>312841594.15999997</v>
      </c>
      <c r="D17" s="522">
        <f t="shared" si="0"/>
        <v>59541343</v>
      </c>
      <c r="E17" s="524">
        <f t="shared" si="1"/>
        <v>49624736</v>
      </c>
      <c r="F17" s="1062">
        <f>'[1]Дотация  из  ОБ_факт'!I13+'[1]Дотация  из  ОБ_факт'!Q13</f>
        <v>17628200</v>
      </c>
      <c r="G17" s="1366">
        <v>17628200</v>
      </c>
      <c r="H17" s="563">
        <f>'[1]Дотация  из  ОБ_факт'!K13</f>
        <v>22844700</v>
      </c>
      <c r="I17" s="1366">
        <v>17233525</v>
      </c>
      <c r="J17" s="564">
        <f t="shared" si="2"/>
        <v>22844700</v>
      </c>
      <c r="K17" s="571">
        <f t="shared" si="3"/>
        <v>17233525</v>
      </c>
      <c r="L17" s="883">
        <f>'[1]Дотация  из  ОБ_факт'!O13</f>
        <v>0</v>
      </c>
      <c r="M17" s="745"/>
      <c r="N17" s="563">
        <f>'[1]Дотация  из  ОБ_факт'!U13</f>
        <v>468143</v>
      </c>
      <c r="O17" s="1366">
        <v>256536</v>
      </c>
      <c r="P17" s="784">
        <f>'[1]Дотация  из  ОБ_факт'!W13</f>
        <v>18100300</v>
      </c>
      <c r="Q17" s="1366">
        <v>14006475</v>
      </c>
      <c r="R17" s="571">
        <f t="shared" si="4"/>
        <v>18100300</v>
      </c>
      <c r="S17" s="564">
        <f t="shared" si="5"/>
        <v>14006475</v>
      </c>
      <c r="T17" s="1059">
        <f>'[1]Дотация  из  ОБ_факт'!AA13</f>
        <v>0</v>
      </c>
      <c r="U17" s="331"/>
      <c r="V17" s="784">
        <f>'[1]Дотация  из  ОБ_факт'!AE13+'[1]Дотация  из  ОБ_факт'!AG13+'[1]Дотация  из  ОБ_факт'!AK13</f>
        <v>500000</v>
      </c>
      <c r="W17" s="163">
        <f t="shared" si="6"/>
        <v>500000</v>
      </c>
      <c r="X17" s="1364">
        <v>500000</v>
      </c>
      <c r="Y17" s="566"/>
      <c r="Z17" s="567"/>
      <c r="AA17" s="563">
        <f>'[1]Дотация  из  ОБ_факт'!AC13+'[1]Дотация  из  ОБ_факт'!AI13</f>
        <v>0</v>
      </c>
      <c r="AB17" s="165">
        <f t="shared" si="7"/>
        <v>0</v>
      </c>
      <c r="AC17" s="566"/>
      <c r="AD17" s="567"/>
      <c r="AE17" s="564">
        <f t="shared" si="8"/>
        <v>0</v>
      </c>
      <c r="AF17" s="571">
        <f t="shared" si="9"/>
        <v>0</v>
      </c>
      <c r="AG17" s="565">
        <f>'[1]Дотация  из  ОБ_факт'!AI13</f>
        <v>0</v>
      </c>
      <c r="AH17" s="1370">
        <f t="shared" si="131"/>
        <v>0</v>
      </c>
      <c r="AI17" s="559">
        <f>'Проверочная  таблица'!KI17+NU17+OA17+'Проверочная  таблица'!RK17+'Проверочная  таблица'!RM17+DE17+DG17+DM17+DO17+'Проверочная  таблица'!MY17+'Проверочная  таблица'!NC17+CG17+CQ17+'Проверочная  таблица'!HE17+'Проверочная  таблица'!HW17+'Проверочная  таблица'!ES17+'Проверочная  таблица'!JY17+DU17+'Проверочная  таблица'!GA17+'Проверочная  таблица'!GG17+'Проверочная  таблица'!LG17+'Проверочная  таблица'!LU17+FU17+'Проверочная  таблица'!KU17+RI17+OS17+PG17+EK17+AK17+AW17+FO17+FE17+GY17+EY17</f>
        <v>132163962.06</v>
      </c>
      <c r="AJ17" s="487">
        <f>'Проверочная  таблица'!KO17+NX17+OD17+'Проверочная  таблица'!RL17+'Проверочная  таблица'!RN17+DF17+DH17+DN17+DP17+'Проверочная  таблица'!NA17+'Проверочная  таблица'!NF17+CL17+CV17+'Проверочная  таблица'!HN17+'Проверочная  таблица'!IF17+'Проверочная  таблица'!EV17+'Проверочная  таблица'!KD17+EC17+'Проверочная  таблица'!GD17+'Проверочная  таблица'!GJ17+'Проверочная  таблица'!LN17+'Проверочная  таблица'!LZ17+FX17+'Проверочная  таблица'!KY17+FR17+RJ17+PP17+OZ17+EM17+AQ17+BC17+FJ17+HB17+FB17</f>
        <v>97912338.659999996</v>
      </c>
      <c r="AK17" s="487">
        <f t="shared" si="10"/>
        <v>0</v>
      </c>
      <c r="AL17" s="332">
        <f>[1]Субсидия_факт!CO15</f>
        <v>0</v>
      </c>
      <c r="AM17" s="523">
        <f>[1]Субсидия_факт!FK15</f>
        <v>0</v>
      </c>
      <c r="AN17" s="498">
        <f>[1]Субсидия_факт!FW15</f>
        <v>0</v>
      </c>
      <c r="AO17" s="523">
        <f>[1]Субсидия_факт!KA15</f>
        <v>0</v>
      </c>
      <c r="AP17" s="332">
        <f>[1]Субсидия_факт!LE15</f>
        <v>0</v>
      </c>
      <c r="AQ17" s="487">
        <f t="shared" si="11"/>
        <v>0</v>
      </c>
      <c r="AR17" s="462"/>
      <c r="AS17" s="462"/>
      <c r="AT17" s="462"/>
      <c r="AU17" s="462"/>
      <c r="AV17" s="462"/>
      <c r="AW17" s="487">
        <f t="shared" si="132"/>
        <v>0</v>
      </c>
      <c r="AX17" s="452">
        <f>[1]Субсидия_факт!CQ15</f>
        <v>0</v>
      </c>
      <c r="AY17" s="332">
        <f>[1]Субсидия_факт!FO15</f>
        <v>0</v>
      </c>
      <c r="AZ17" s="476">
        <f>[1]Субсидия_факт!JK15</f>
        <v>0</v>
      </c>
      <c r="BA17" s="496">
        <f>[1]Субсидия_факт!KC15</f>
        <v>0</v>
      </c>
      <c r="BB17" s="498">
        <f>[1]Субсидия_факт!LG15</f>
        <v>0</v>
      </c>
      <c r="BC17" s="487">
        <f t="shared" si="133"/>
        <v>0</v>
      </c>
      <c r="BD17" s="529"/>
      <c r="BE17" s="529"/>
      <c r="BF17" s="333"/>
      <c r="BG17" s="530"/>
      <c r="BH17" s="529"/>
      <c r="BI17" s="657">
        <f t="shared" si="134"/>
        <v>0</v>
      </c>
      <c r="BJ17" s="1025">
        <f t="shared" si="12"/>
        <v>0</v>
      </c>
      <c r="BK17" s="452">
        <f t="shared" si="13"/>
        <v>0</v>
      </c>
      <c r="BL17" s="452">
        <f t="shared" si="14"/>
        <v>0</v>
      </c>
      <c r="BM17" s="332">
        <f t="shared" si="15"/>
        <v>0</v>
      </c>
      <c r="BN17" s="488">
        <f t="shared" si="16"/>
        <v>0</v>
      </c>
      <c r="BO17" s="657">
        <f t="shared" si="135"/>
        <v>0</v>
      </c>
      <c r="BP17" s="607">
        <f t="shared" si="17"/>
        <v>0</v>
      </c>
      <c r="BQ17" s="496">
        <f t="shared" si="18"/>
        <v>0</v>
      </c>
      <c r="BR17" s="332">
        <f t="shared" si="19"/>
        <v>0</v>
      </c>
      <c r="BS17" s="430">
        <f t="shared" si="20"/>
        <v>0</v>
      </c>
      <c r="BT17" s="332">
        <f t="shared" si="21"/>
        <v>0</v>
      </c>
      <c r="BU17" s="657">
        <f t="shared" si="136"/>
        <v>0</v>
      </c>
      <c r="BV17" s="452">
        <f>[1]Субсидия_факт!CS15</f>
        <v>0</v>
      </c>
      <c r="BW17" s="332">
        <f>[1]Субсидия_факт!FQ15</f>
        <v>0</v>
      </c>
      <c r="BX17" s="476">
        <f>[1]Субсидия_факт!JM15</f>
        <v>0</v>
      </c>
      <c r="BY17" s="430">
        <f>[1]Субсидия_факт!KE15</f>
        <v>0</v>
      </c>
      <c r="BZ17" s="332">
        <f>[1]Субсидия_факт!LI15</f>
        <v>0</v>
      </c>
      <c r="CA17" s="659">
        <f t="shared" si="137"/>
        <v>0</v>
      </c>
      <c r="CB17" s="782"/>
      <c r="CC17" s="529"/>
      <c r="CD17" s="462"/>
      <c r="CE17" s="529"/>
      <c r="CF17" s="529"/>
      <c r="CG17" s="517">
        <f t="shared" si="22"/>
        <v>23930145</v>
      </c>
      <c r="CH17" s="430">
        <f>[1]Субсидия_факт!LM15</f>
        <v>0</v>
      </c>
      <c r="CI17" s="452">
        <f>[1]Субсидия_факт!LS15</f>
        <v>23930145</v>
      </c>
      <c r="CJ17" s="332">
        <f>[1]Субсидия_факт!ME15</f>
        <v>0</v>
      </c>
      <c r="CK17" s="511">
        <f>[1]Субсидия_факт!MK15</f>
        <v>0</v>
      </c>
      <c r="CL17" s="517">
        <f t="shared" si="23"/>
        <v>17981909.239999998</v>
      </c>
      <c r="CM17" s="529"/>
      <c r="CN17" s="529">
        <v>17981909.239999998</v>
      </c>
      <c r="CO17" s="529"/>
      <c r="CP17" s="610"/>
      <c r="CQ17" s="517">
        <f t="shared" si="24"/>
        <v>0</v>
      </c>
      <c r="CR17" s="452">
        <f>[1]Субсидия_факт!LO15</f>
        <v>0</v>
      </c>
      <c r="CS17" s="452">
        <f>[1]Субсидия_факт!LU15</f>
        <v>0</v>
      </c>
      <c r="CT17" s="332">
        <f>[1]Субсидия_факт!MG15</f>
        <v>0</v>
      </c>
      <c r="CU17" s="511">
        <f>[1]Субсидия_факт!MM15</f>
        <v>0</v>
      </c>
      <c r="CV17" s="517">
        <f t="shared" si="25"/>
        <v>0</v>
      </c>
      <c r="CW17" s="529"/>
      <c r="CX17" s="530"/>
      <c r="CY17" s="782"/>
      <c r="CZ17" s="719"/>
      <c r="DA17" s="528">
        <f t="shared" si="138"/>
        <v>0</v>
      </c>
      <c r="DB17" s="526">
        <f t="shared" si="139"/>
        <v>0</v>
      </c>
      <c r="DC17" s="525">
        <f t="shared" si="140"/>
        <v>0</v>
      </c>
      <c r="DD17" s="528">
        <f t="shared" si="141"/>
        <v>0</v>
      </c>
      <c r="DE17" s="524">
        <f>[1]Субсидия_факт!GC15</f>
        <v>0</v>
      </c>
      <c r="DF17" s="330"/>
      <c r="DG17" s="522">
        <f>[1]Субсидия_факт!GE15</f>
        <v>0</v>
      </c>
      <c r="DH17" s="330"/>
      <c r="DI17" s="757">
        <f t="shared" si="142"/>
        <v>0</v>
      </c>
      <c r="DJ17" s="570">
        <f t="shared" si="143"/>
        <v>0</v>
      </c>
      <c r="DK17" s="757">
        <f>[1]Субсидия_факт!GG15</f>
        <v>0</v>
      </c>
      <c r="DL17" s="1387">
        <f t="shared" si="144"/>
        <v>0</v>
      </c>
      <c r="DM17" s="516">
        <f>[1]Субсидия_факт!GI15</f>
        <v>0</v>
      </c>
      <c r="DN17" s="604"/>
      <c r="DO17" s="517">
        <f>[1]Субсидия_факт!GK15</f>
        <v>0</v>
      </c>
      <c r="DP17" s="604"/>
      <c r="DQ17" s="526">
        <f t="shared" si="28"/>
        <v>0</v>
      </c>
      <c r="DR17" s="526">
        <f t="shared" si="29"/>
        <v>0</v>
      </c>
      <c r="DS17" s="653">
        <f t="shared" si="30"/>
        <v>0</v>
      </c>
      <c r="DT17" s="1385">
        <f t="shared" si="145"/>
        <v>0</v>
      </c>
      <c r="DU17" s="517">
        <f t="shared" si="31"/>
        <v>0</v>
      </c>
      <c r="DV17" s="523">
        <f>[1]Субсидия_факт!E15</f>
        <v>0</v>
      </c>
      <c r="DW17" s="1025">
        <f>[1]Субсидия_факт!G15</f>
        <v>0</v>
      </c>
      <c r="DX17" s="678">
        <f>[1]Субсидия_факт!I15</f>
        <v>0</v>
      </c>
      <c r="DY17" s="636">
        <f>[1]Субсидия_факт!K15</f>
        <v>0</v>
      </c>
      <c r="DZ17" s="786">
        <f>[1]Субсидия_факт!M15</f>
        <v>0</v>
      </c>
      <c r="EA17" s="498">
        <f>[1]Субсидия_факт!O15</f>
        <v>0</v>
      </c>
      <c r="EB17" s="636">
        <f>[1]Субсидия_факт!Q15</f>
        <v>0</v>
      </c>
      <c r="EC17" s="516">
        <f t="shared" si="32"/>
        <v>0</v>
      </c>
      <c r="ED17" s="530"/>
      <c r="EE17" s="529"/>
      <c r="EF17" s="682"/>
      <c r="EG17" s="529"/>
      <c r="EH17" s="682"/>
      <c r="EI17" s="530"/>
      <c r="EJ17" s="607">
        <f t="shared" si="146"/>
        <v>0</v>
      </c>
      <c r="EK17" s="516">
        <f t="shared" si="147"/>
        <v>0</v>
      </c>
      <c r="EL17" s="1223">
        <f>[1]Субсидия_факт!S15</f>
        <v>0</v>
      </c>
      <c r="EM17" s="524">
        <f t="shared" si="147"/>
        <v>0</v>
      </c>
      <c r="EN17" s="607">
        <f t="shared" si="148"/>
        <v>0</v>
      </c>
      <c r="EO17" s="570">
        <f t="shared" si="149"/>
        <v>0</v>
      </c>
      <c r="EP17" s="633">
        <f t="shared" si="150"/>
        <v>0</v>
      </c>
      <c r="EQ17" s="633">
        <f>[1]Субсидия_факт!U15</f>
        <v>0</v>
      </c>
      <c r="ER17" s="1245">
        <f t="shared" si="151"/>
        <v>0</v>
      </c>
      <c r="ES17" s="487">
        <f t="shared" si="33"/>
        <v>0</v>
      </c>
      <c r="ET17" s="511">
        <f>[1]Субсидия_факт!AU15</f>
        <v>0</v>
      </c>
      <c r="EU17" s="890">
        <f>[1]Субсидия_факт!AW15</f>
        <v>0</v>
      </c>
      <c r="EV17" s="454">
        <f t="shared" si="34"/>
        <v>0</v>
      </c>
      <c r="EW17" s="777"/>
      <c r="EX17" s="1095"/>
      <c r="EY17" s="487">
        <f t="shared" si="35"/>
        <v>0</v>
      </c>
      <c r="EZ17" s="511">
        <f>[1]Субсидия_факт!FY15</f>
        <v>0</v>
      </c>
      <c r="FA17" s="890">
        <f>[1]Субсидия_факт!GA15</f>
        <v>0</v>
      </c>
      <c r="FB17" s="454">
        <f t="shared" si="36"/>
        <v>0</v>
      </c>
      <c r="FC17" s="777"/>
      <c r="FD17" s="1095"/>
      <c r="FE17" s="517">
        <f t="shared" si="152"/>
        <v>0</v>
      </c>
      <c r="FF17" s="430">
        <f>[1]Субсидия_факт!W15</f>
        <v>0</v>
      </c>
      <c r="FG17" s="931">
        <f>[1]Субсидия_факт!Y15</f>
        <v>0</v>
      </c>
      <c r="FH17" s="452">
        <f>[1]Субсидия_факт!AA15</f>
        <v>0</v>
      </c>
      <c r="FI17" s="686">
        <f>[1]Субсидия_факт!AC15</f>
        <v>0</v>
      </c>
      <c r="FJ17" s="516">
        <f t="shared" si="153"/>
        <v>0</v>
      </c>
      <c r="FK17" s="462"/>
      <c r="FL17" s="682"/>
      <c r="FM17" s="462"/>
      <c r="FN17" s="682"/>
      <c r="FO17" s="487">
        <f t="shared" si="37"/>
        <v>0</v>
      </c>
      <c r="FP17" s="511">
        <f>[1]Субсидия_факт!AY15</f>
        <v>0</v>
      </c>
      <c r="FQ17" s="890">
        <f>[1]Субсидия_факт!BA15</f>
        <v>0</v>
      </c>
      <c r="FR17" s="454">
        <f t="shared" si="38"/>
        <v>0</v>
      </c>
      <c r="FS17" s="777"/>
      <c r="FT17" s="673"/>
      <c r="FU17" s="524">
        <f t="shared" si="154"/>
        <v>0</v>
      </c>
      <c r="FV17" s="498">
        <f>[1]Субсидия_факт!EE15</f>
        <v>0</v>
      </c>
      <c r="FW17" s="686">
        <f>[1]Субсидия_факт!EG15</f>
        <v>0</v>
      </c>
      <c r="FX17" s="517">
        <f t="shared" si="155"/>
        <v>0</v>
      </c>
      <c r="FY17" s="529"/>
      <c r="FZ17" s="704"/>
      <c r="GA17" s="559">
        <f t="shared" si="41"/>
        <v>1348234</v>
      </c>
      <c r="GB17" s="511">
        <f>[1]Субсидия_факт!DS15</f>
        <v>377507.37</v>
      </c>
      <c r="GC17" s="890">
        <f>[1]Субсидия_факт!DY15</f>
        <v>970726.63</v>
      </c>
      <c r="GD17" s="454">
        <f t="shared" si="42"/>
        <v>1259824</v>
      </c>
      <c r="GE17" s="719">
        <v>352752.45</v>
      </c>
      <c r="GF17" s="673">
        <f>1259824-GE17</f>
        <v>907071.55</v>
      </c>
      <c r="GG17" s="454">
        <f t="shared" si="43"/>
        <v>0</v>
      </c>
      <c r="GH17" s="511">
        <f>[1]Субсидия_факт!DU15</f>
        <v>0</v>
      </c>
      <c r="GI17" s="751">
        <f>[1]Субсидия_факт!EA15</f>
        <v>0</v>
      </c>
      <c r="GJ17" s="454">
        <f t="shared" si="44"/>
        <v>0</v>
      </c>
      <c r="GK17" s="610"/>
      <c r="GL17" s="706"/>
      <c r="GM17" s="659">
        <f t="shared" si="45"/>
        <v>0</v>
      </c>
      <c r="GN17" s="749">
        <f>'Проверочная  таблица'!GH17-'Проверочная  таблица'!GT17</f>
        <v>0</v>
      </c>
      <c r="GO17" s="671">
        <f>'Проверочная  таблица'!GI17-'Проверочная  таблица'!GU17</f>
        <v>0</v>
      </c>
      <c r="GP17" s="653">
        <f t="shared" si="46"/>
        <v>0</v>
      </c>
      <c r="GQ17" s="756">
        <f>'Проверочная  таблица'!GK17-'Проверочная  таблица'!GW17</f>
        <v>0</v>
      </c>
      <c r="GR17" s="768">
        <f>'Проверочная  таблица'!GL17-'Проверочная  таблица'!GX17</f>
        <v>0</v>
      </c>
      <c r="GS17" s="659">
        <f t="shared" si="47"/>
        <v>0</v>
      </c>
      <c r="GT17" s="511">
        <f>[1]Субсидия_факт!DW15</f>
        <v>0</v>
      </c>
      <c r="GU17" s="890">
        <f>[1]Субсидия_факт!EC15</f>
        <v>0</v>
      </c>
      <c r="GV17" s="659">
        <f t="shared" si="48"/>
        <v>0</v>
      </c>
      <c r="GW17" s="511"/>
      <c r="GX17" s="751"/>
      <c r="GY17" s="454">
        <f t="shared" si="49"/>
        <v>0</v>
      </c>
      <c r="GZ17" s="756">
        <f>[1]Субсидия_факт!AE15</f>
        <v>0</v>
      </c>
      <c r="HA17" s="671">
        <f>[1]Субсидия_факт!AG15</f>
        <v>0</v>
      </c>
      <c r="HB17" s="454">
        <f t="shared" si="50"/>
        <v>0</v>
      </c>
      <c r="HC17" s="756"/>
      <c r="HD17" s="671"/>
      <c r="HE17" s="747">
        <f t="shared" si="51"/>
        <v>8073.67</v>
      </c>
      <c r="HF17" s="756">
        <f>[1]Субсидия_факт!BW15</f>
        <v>0</v>
      </c>
      <c r="HG17" s="671">
        <f>[1]Субсидия_факт!CC15</f>
        <v>0</v>
      </c>
      <c r="HH17" s="511">
        <f>[1]Субсидия_факт!CU15</f>
        <v>7246.38</v>
      </c>
      <c r="HI17" s="890">
        <f>[1]Субсидия_факт!DA15</f>
        <v>827.29</v>
      </c>
      <c r="HJ17" s="511">
        <f>[1]Субсидия_факт!DG15</f>
        <v>0</v>
      </c>
      <c r="HK17" s="890">
        <f>[1]Субсидия_факт!DM15</f>
        <v>0</v>
      </c>
      <c r="HL17" s="511">
        <f>[1]Субсидия_факт!EI15</f>
        <v>0</v>
      </c>
      <c r="HM17" s="751">
        <f>[1]Субсидия_факт!EO15</f>
        <v>0</v>
      </c>
      <c r="HN17" s="747">
        <f t="shared" si="52"/>
        <v>8073.67</v>
      </c>
      <c r="HO17" s="610"/>
      <c r="HP17" s="673"/>
      <c r="HQ17" s="756">
        <f t="shared" si="156"/>
        <v>7246.38</v>
      </c>
      <c r="HR17" s="768">
        <f t="shared" si="188"/>
        <v>827.29</v>
      </c>
      <c r="HS17" s="756">
        <f t="shared" si="157"/>
        <v>0</v>
      </c>
      <c r="HT17" s="1480">
        <f t="shared" si="158"/>
        <v>0</v>
      </c>
      <c r="HU17" s="610"/>
      <c r="HV17" s="673"/>
      <c r="HW17" s="747">
        <f t="shared" si="53"/>
        <v>0</v>
      </c>
      <c r="HX17" s="756">
        <f>[1]Субсидия_факт!BY15</f>
        <v>0</v>
      </c>
      <c r="HY17" s="671">
        <f>[1]Субсидия_факт!CE15</f>
        <v>0</v>
      </c>
      <c r="HZ17" s="511">
        <f>[1]Субсидия_факт!CW15</f>
        <v>0</v>
      </c>
      <c r="IA17" s="751">
        <f>[1]Субсидия_факт!DC15</f>
        <v>0</v>
      </c>
      <c r="IB17" s="511">
        <f>[1]Субсидия_факт!DI15</f>
        <v>0</v>
      </c>
      <c r="IC17" s="890">
        <f>[1]Субсидия_факт!DO15</f>
        <v>0</v>
      </c>
      <c r="ID17" s="511">
        <f>[1]Субсидия_факт!EK15</f>
        <v>0</v>
      </c>
      <c r="IE17" s="751">
        <f>[1]Субсидия_факт!EQ15</f>
        <v>0</v>
      </c>
      <c r="IF17" s="747">
        <f t="shared" si="54"/>
        <v>0</v>
      </c>
      <c r="IG17" s="610"/>
      <c r="IH17" s="673"/>
      <c r="II17" s="749">
        <f t="shared" si="159"/>
        <v>0</v>
      </c>
      <c r="IJ17" s="671">
        <f t="shared" si="160"/>
        <v>0</v>
      </c>
      <c r="IK17" s="777"/>
      <c r="IL17" s="673"/>
      <c r="IM17" s="610"/>
      <c r="IN17" s="673"/>
      <c r="IO17" s="750">
        <f t="shared" si="55"/>
        <v>0</v>
      </c>
      <c r="IP17" s="756">
        <f>'Проверочная  таблица'!HX17-JH17</f>
        <v>0</v>
      </c>
      <c r="IQ17" s="671">
        <f>'Проверочная  таблица'!HY17-JI17</f>
        <v>0</v>
      </c>
      <c r="IR17" s="756">
        <f>'Проверочная  таблица'!HZ17-JJ17</f>
        <v>0</v>
      </c>
      <c r="IS17" s="671">
        <f>'Проверочная  таблица'!IA17-JK17</f>
        <v>0</v>
      </c>
      <c r="IT17" s="749">
        <f>'Проверочная  таблица'!IB17-JL17</f>
        <v>0</v>
      </c>
      <c r="IU17" s="671">
        <f>'Проверочная  таблица'!IC17-JM17</f>
        <v>0</v>
      </c>
      <c r="IV17" s="756">
        <f>'Проверочная  таблица'!ID17-JN17</f>
        <v>0</v>
      </c>
      <c r="IW17" s="671">
        <f>'Проверочная  таблица'!IE17-JO17</f>
        <v>0</v>
      </c>
      <c r="IX17" s="750">
        <f t="shared" si="56"/>
        <v>0</v>
      </c>
      <c r="IY17" s="756">
        <f>'Проверочная  таблица'!IG17-JQ17</f>
        <v>0</v>
      </c>
      <c r="IZ17" s="810">
        <f>'Проверочная  таблица'!IH17-JR17</f>
        <v>0</v>
      </c>
      <c r="JA17" s="756">
        <f>'Проверочная  таблица'!II17-JS17</f>
        <v>0</v>
      </c>
      <c r="JB17" s="768">
        <f>'Проверочная  таблица'!IJ17-JT17</f>
        <v>0</v>
      </c>
      <c r="JC17" s="756">
        <f>'Проверочная  таблица'!IK17-JU17</f>
        <v>0</v>
      </c>
      <c r="JD17" s="768">
        <f>'Проверочная  таблица'!IL17-JV17</f>
        <v>0</v>
      </c>
      <c r="JE17" s="756">
        <f>'Проверочная  таблица'!IM17-JW17</f>
        <v>0</v>
      </c>
      <c r="JF17" s="768">
        <f>'Проверочная  таблица'!IN17-JX17</f>
        <v>0</v>
      </c>
      <c r="JG17" s="659">
        <f t="shared" si="57"/>
        <v>0</v>
      </c>
      <c r="JH17" s="756">
        <f>[1]Субсидия_факт!CA15</f>
        <v>0</v>
      </c>
      <c r="JI17" s="671">
        <f>[1]Субсидия_факт!CG15</f>
        <v>0</v>
      </c>
      <c r="JJ17" s="511">
        <f>[1]Субсидия_факт!CY15</f>
        <v>0</v>
      </c>
      <c r="JK17" s="751">
        <f>[1]Субсидия_факт!DE15</f>
        <v>0</v>
      </c>
      <c r="JL17" s="511">
        <f>[1]Субсидия_факт!DK15</f>
        <v>0</v>
      </c>
      <c r="JM17" s="890">
        <f>[1]Субсидия_факт!DQ15</f>
        <v>0</v>
      </c>
      <c r="JN17" s="511">
        <f>[1]Субсидия_факт!EM15</f>
        <v>0</v>
      </c>
      <c r="JO17" s="751">
        <f>[1]Субсидия_факт!ES15</f>
        <v>0</v>
      </c>
      <c r="JP17" s="750">
        <f t="shared" si="58"/>
        <v>0</v>
      </c>
      <c r="JQ17" s="610"/>
      <c r="JR17" s="673"/>
      <c r="JS17" s="513"/>
      <c r="JT17" s="788"/>
      <c r="JU17" s="513"/>
      <c r="JV17" s="885"/>
      <c r="JW17" s="610"/>
      <c r="JX17" s="673"/>
      <c r="JY17" s="454">
        <f t="shared" si="161"/>
        <v>0</v>
      </c>
      <c r="JZ17" s="511">
        <f>[1]Субсидия_факт!BC15</f>
        <v>0</v>
      </c>
      <c r="KA17" s="890">
        <f>[1]Субсидия_факт!BE15</f>
        <v>0</v>
      </c>
      <c r="KB17" s="511">
        <f>[1]Субсидия_факт!BG15</f>
        <v>0</v>
      </c>
      <c r="KC17" s="890">
        <f>[1]Субсидия_факт!BI15</f>
        <v>0</v>
      </c>
      <c r="KD17" s="454">
        <f t="shared" si="162"/>
        <v>0</v>
      </c>
      <c r="KE17" s="610"/>
      <c r="KF17" s="673"/>
      <c r="KG17" s="610"/>
      <c r="KH17" s="673"/>
      <c r="KI17" s="524">
        <f t="shared" si="59"/>
        <v>1715245.3</v>
      </c>
      <c r="KJ17" s="511">
        <f>[1]Субсидия_факт!HO15</f>
        <v>1715245.3</v>
      </c>
      <c r="KK17" s="523">
        <f>[1]Субсидия_факт!HQ15</f>
        <v>0</v>
      </c>
      <c r="KL17" s="686">
        <f>[1]Субсидия_факт!HS15</f>
        <v>0</v>
      </c>
      <c r="KM17" s="636">
        <f>[1]Субсидия_факт!IC15</f>
        <v>0</v>
      </c>
      <c r="KN17" s="686">
        <f>[1]Субсидия_факт!IE15</f>
        <v>0</v>
      </c>
      <c r="KO17" s="487">
        <f t="shared" si="163"/>
        <v>1715245.3</v>
      </c>
      <c r="KP17" s="756">
        <f t="shared" si="164"/>
        <v>1715245.3</v>
      </c>
      <c r="KQ17" s="333"/>
      <c r="KR17" s="682"/>
      <c r="KS17" s="462"/>
      <c r="KT17" s="682"/>
      <c r="KU17" s="454">
        <f t="shared" si="60"/>
        <v>0</v>
      </c>
      <c r="KV17" s="513">
        <f>[1]Субсидия_факт!HY15</f>
        <v>0</v>
      </c>
      <c r="KW17" s="513">
        <f>[1]Субсидия_факт!HU15</f>
        <v>0</v>
      </c>
      <c r="KX17" s="751">
        <f>[1]Субсидия_факт!HW15</f>
        <v>0</v>
      </c>
      <c r="KY17" s="454">
        <f t="shared" si="61"/>
        <v>0</v>
      </c>
      <c r="KZ17" s="756">
        <f t="shared" si="165"/>
        <v>0</v>
      </c>
      <c r="LA17" s="610"/>
      <c r="LB17" s="673"/>
      <c r="LC17" s="886">
        <f t="shared" si="62"/>
        <v>0</v>
      </c>
      <c r="LD17" s="886">
        <f t="shared" si="63"/>
        <v>0</v>
      </c>
      <c r="LE17" s="657">
        <f t="shared" si="64"/>
        <v>0</v>
      </c>
      <c r="LF17" s="1038">
        <f t="shared" si="65"/>
        <v>0</v>
      </c>
      <c r="LG17" s="753">
        <f t="shared" si="166"/>
        <v>0</v>
      </c>
      <c r="LH17" s="511">
        <f>[1]Субсидия_факт!OG15</f>
        <v>0</v>
      </c>
      <c r="LI17" s="890">
        <f>[1]Субсидия_факт!OM15</f>
        <v>0</v>
      </c>
      <c r="LJ17" s="511">
        <f>[1]Субсидия_факт!OS15</f>
        <v>0</v>
      </c>
      <c r="LK17" s="890">
        <f>[1]Субсидия_факт!OY15</f>
        <v>0</v>
      </c>
      <c r="LL17" s="756">
        <f>[1]Субсидия_факт!PE15</f>
        <v>0</v>
      </c>
      <c r="LM17" s="768">
        <f>[1]Субсидия_факт!PI15</f>
        <v>0</v>
      </c>
      <c r="LN17" s="753">
        <f t="shared" si="66"/>
        <v>0</v>
      </c>
      <c r="LO17" s="777"/>
      <c r="LP17" s="673"/>
      <c r="LQ17" s="610"/>
      <c r="LR17" s="776"/>
      <c r="LS17" s="610"/>
      <c r="LT17" s="776"/>
      <c r="LU17" s="753">
        <f t="shared" si="67"/>
        <v>0</v>
      </c>
      <c r="LV17" s="511">
        <f>[1]Субсидия_факт!OI15</f>
        <v>0</v>
      </c>
      <c r="LW17" s="890">
        <f>[1]Субсидия_факт!OO15</f>
        <v>0</v>
      </c>
      <c r="LX17" s="513">
        <f>[1]Субсидия_факт!OU15</f>
        <v>0</v>
      </c>
      <c r="LY17" s="751">
        <f>[1]Субсидия_факт!PA15</f>
        <v>0</v>
      </c>
      <c r="LZ17" s="754">
        <f t="shared" si="68"/>
        <v>0</v>
      </c>
      <c r="MA17" s="610"/>
      <c r="MB17" s="776"/>
      <c r="MC17" s="610"/>
      <c r="MD17" s="673"/>
      <c r="ME17" s="652">
        <f t="shared" si="69"/>
        <v>0</v>
      </c>
      <c r="MF17" s="642">
        <f>'Проверочная  таблица'!LV17-MP17</f>
        <v>0</v>
      </c>
      <c r="MG17" s="678">
        <f>'Проверочная  таблица'!LW17-MQ17</f>
        <v>0</v>
      </c>
      <c r="MH17" s="765">
        <f>'Проверочная  таблица'!LY17-MR17</f>
        <v>0</v>
      </c>
      <c r="MI17" s="607">
        <f>'Проверочная  таблица'!LX17-MS17</f>
        <v>0</v>
      </c>
      <c r="MJ17" s="755">
        <f t="shared" si="70"/>
        <v>0</v>
      </c>
      <c r="MK17" s="749">
        <f>'Проверочная  таблица'!MA17-MU17</f>
        <v>0</v>
      </c>
      <c r="ML17" s="671">
        <f>'Проверочная  таблица'!MB17-MV17</f>
        <v>0</v>
      </c>
      <c r="MM17" s="768">
        <f>'Проверочная  таблица'!MD17-MW17</f>
        <v>0</v>
      </c>
      <c r="MN17" s="756">
        <f>'Проверочная  таблица'!MC17-MX17</f>
        <v>0</v>
      </c>
      <c r="MO17" s="779">
        <f t="shared" si="71"/>
        <v>0</v>
      </c>
      <c r="MP17" s="511">
        <f>[1]Субсидия_факт!OK15</f>
        <v>0</v>
      </c>
      <c r="MQ17" s="890">
        <f>[1]Субсидия_факт!OQ15</f>
        <v>0</v>
      </c>
      <c r="MR17" s="890">
        <f>[1]Субсидия_факт!PC15</f>
        <v>0</v>
      </c>
      <c r="MS17" s="511">
        <f>[1]Субсидия_факт!OW15</f>
        <v>0</v>
      </c>
      <c r="MT17" s="755">
        <f t="shared" si="72"/>
        <v>0</v>
      </c>
      <c r="MU17" s="749">
        <f t="shared" si="167"/>
        <v>0</v>
      </c>
      <c r="MV17" s="671">
        <f t="shared" si="168"/>
        <v>0</v>
      </c>
      <c r="MW17" s="768">
        <f t="shared" si="169"/>
        <v>0</v>
      </c>
      <c r="MX17" s="756">
        <f t="shared" si="73"/>
        <v>0</v>
      </c>
      <c r="MY17" s="524">
        <f>SUM('Проверочная  таблица'!MZ17:MZ17)</f>
        <v>0</v>
      </c>
      <c r="MZ17" s="333"/>
      <c r="NA17" s="524">
        <f>SUM('Проверочная  таблица'!NB17:NB17)</f>
        <v>0</v>
      </c>
      <c r="NB17" s="462"/>
      <c r="NC17" s="524">
        <f t="shared" si="74"/>
        <v>600000</v>
      </c>
      <c r="ND17" s="452">
        <f>[1]Субсидия_факт!IU15</f>
        <v>168000</v>
      </c>
      <c r="NE17" s="686">
        <f>[1]Субсидия_факт!IY15</f>
        <v>432000</v>
      </c>
      <c r="NF17" s="517">
        <f t="shared" si="75"/>
        <v>395425.26</v>
      </c>
      <c r="NG17" s="529">
        <v>110719.07</v>
      </c>
      <c r="NH17" s="774">
        <f>395425.26-NG17</f>
        <v>284706.19</v>
      </c>
      <c r="NI17" s="570">
        <f t="shared" si="76"/>
        <v>600000</v>
      </c>
      <c r="NJ17" s="1000">
        <f>'Проверочная  таблица'!ND17-NP17</f>
        <v>168000</v>
      </c>
      <c r="NK17" s="678">
        <f>'Проверочная  таблица'!NE17-NQ17</f>
        <v>432000</v>
      </c>
      <c r="NL17" s="570">
        <f t="shared" si="77"/>
        <v>395425.26</v>
      </c>
      <c r="NM17" s="476">
        <f>'Проверочная  таблица'!NG17-NS17</f>
        <v>110719.07</v>
      </c>
      <c r="NN17" s="678">
        <f>'Проверочная  таблица'!NH17-NT17</f>
        <v>284706.19</v>
      </c>
      <c r="NO17" s="633">
        <f t="shared" si="78"/>
        <v>0</v>
      </c>
      <c r="NP17" s="452">
        <f>[1]Субсидия_факт!IW15</f>
        <v>0</v>
      </c>
      <c r="NQ17" s="686">
        <f>[1]Субсидия_факт!JA15</f>
        <v>0</v>
      </c>
      <c r="NR17" s="570">
        <f t="shared" si="79"/>
        <v>0</v>
      </c>
      <c r="NS17" s="476"/>
      <c r="NT17" s="710"/>
      <c r="NU17" s="517">
        <f t="shared" si="170"/>
        <v>0</v>
      </c>
      <c r="NV17" s="332">
        <f>[1]Субсидия_факт!FA15</f>
        <v>0</v>
      </c>
      <c r="NW17" s="786">
        <f>[1]Субсидия_факт!FC15</f>
        <v>0</v>
      </c>
      <c r="NX17" s="517">
        <f t="shared" si="171"/>
        <v>0</v>
      </c>
      <c r="NY17" s="462"/>
      <c r="NZ17" s="682"/>
      <c r="OA17" s="517">
        <f t="shared" si="172"/>
        <v>0</v>
      </c>
      <c r="OD17" s="517">
        <f t="shared" si="173"/>
        <v>0</v>
      </c>
      <c r="OG17" s="526">
        <f t="shared" si="174"/>
        <v>0</v>
      </c>
      <c r="OJ17" s="526">
        <f t="shared" si="175"/>
        <v>0</v>
      </c>
      <c r="OM17" s="526">
        <f t="shared" si="176"/>
        <v>0</v>
      </c>
      <c r="OP17" s="526">
        <f t="shared" si="177"/>
        <v>0</v>
      </c>
      <c r="OS17" s="524">
        <f t="shared" si="80"/>
        <v>19848819.27</v>
      </c>
      <c r="OT17" s="498">
        <f>[1]Субсидия_факт!JO15</f>
        <v>0</v>
      </c>
      <c r="OU17" s="786">
        <f>[1]Субсидия_факт!JQ15</f>
        <v>0</v>
      </c>
      <c r="OV17" s="332">
        <f>[1]Субсидия_факт!KS15</f>
        <v>0</v>
      </c>
      <c r="OW17" s="686">
        <f>[1]Субсидия_факт!KY15</f>
        <v>0</v>
      </c>
      <c r="OX17" s="498">
        <f>[1]Субсидия_факт!KG15</f>
        <v>8330586.0700000003</v>
      </c>
      <c r="OY17" s="786">
        <f>[1]Субсидия_факт!KM15</f>
        <v>11518233.199999999</v>
      </c>
      <c r="OZ17" s="517">
        <f t="shared" si="81"/>
        <v>2193221.33</v>
      </c>
      <c r="PA17" s="462"/>
      <c r="PB17" s="682"/>
      <c r="PC17" s="333"/>
      <c r="PD17" s="704"/>
      <c r="PE17" s="462">
        <v>920496.4</v>
      </c>
      <c r="PF17" s="794">
        <f>2193221.33-PE17</f>
        <v>1272724.9300000002</v>
      </c>
      <c r="PG17" s="524">
        <f t="shared" si="82"/>
        <v>0</v>
      </c>
      <c r="PH17" s="498">
        <f>[1]Субсидия_факт!JC15</f>
        <v>0</v>
      </c>
      <c r="PI17" s="931">
        <f>[1]Субсидия_факт!JG15</f>
        <v>0</v>
      </c>
      <c r="PJ17" s="476">
        <f>[1]Субсидия_факт!JS15</f>
        <v>0</v>
      </c>
      <c r="PK17" s="678">
        <f>[1]Субсидия_факт!JW15</f>
        <v>0</v>
      </c>
      <c r="PL17" s="498">
        <f>[1]Субсидия_факт!KU15</f>
        <v>0</v>
      </c>
      <c r="PM17" s="791">
        <f>[1]Субсидия_факт!LA15</f>
        <v>0</v>
      </c>
      <c r="PN17" s="498">
        <f>[1]Субсидия_факт!KI15</f>
        <v>0</v>
      </c>
      <c r="PO17" s="686">
        <f>[1]Субсидия_факт!KO15</f>
        <v>0</v>
      </c>
      <c r="PP17" s="517">
        <f t="shared" si="83"/>
        <v>0</v>
      </c>
      <c r="PQ17" s="529"/>
      <c r="PR17" s="771"/>
      <c r="PS17" s="462"/>
      <c r="PT17" s="682"/>
      <c r="PU17" s="529"/>
      <c r="PV17" s="774"/>
      <c r="PW17" s="529"/>
      <c r="PX17" s="682"/>
      <c r="PY17" s="570">
        <f t="shared" si="84"/>
        <v>0</v>
      </c>
      <c r="PZ17" s="452">
        <f t="shared" si="85"/>
        <v>0</v>
      </c>
      <c r="QA17" s="686">
        <f t="shared" si="86"/>
        <v>0</v>
      </c>
      <c r="QB17" s="430">
        <f t="shared" si="87"/>
        <v>0</v>
      </c>
      <c r="QC17" s="686">
        <f t="shared" si="88"/>
        <v>0</v>
      </c>
      <c r="QD17" s="332">
        <f t="shared" si="89"/>
        <v>0</v>
      </c>
      <c r="QE17" s="686">
        <f t="shared" si="90"/>
        <v>0</v>
      </c>
      <c r="QF17" s="430">
        <f t="shared" si="91"/>
        <v>0</v>
      </c>
      <c r="QG17" s="686">
        <f t="shared" si="92"/>
        <v>0</v>
      </c>
      <c r="QH17" s="633">
        <f t="shared" si="93"/>
        <v>0</v>
      </c>
      <c r="QI17" s="452">
        <f t="shared" si="94"/>
        <v>0</v>
      </c>
      <c r="QJ17" s="686">
        <f t="shared" si="95"/>
        <v>0</v>
      </c>
      <c r="QK17" s="430">
        <f t="shared" si="96"/>
        <v>0</v>
      </c>
      <c r="QL17" s="686">
        <f t="shared" si="97"/>
        <v>0</v>
      </c>
      <c r="QM17" s="332">
        <f t="shared" si="98"/>
        <v>0</v>
      </c>
      <c r="QN17" s="786">
        <f t="shared" si="99"/>
        <v>0</v>
      </c>
      <c r="QO17" s="332">
        <f t="shared" si="100"/>
        <v>0</v>
      </c>
      <c r="QP17" s="686">
        <f t="shared" si="101"/>
        <v>0</v>
      </c>
      <c r="QQ17" s="570">
        <f t="shared" si="102"/>
        <v>0</v>
      </c>
      <c r="QR17" s="430">
        <f>[1]Субсидия_факт!JE15</f>
        <v>0</v>
      </c>
      <c r="QS17" s="931">
        <f>[1]Субсидия_факт!JI15</f>
        <v>0</v>
      </c>
      <c r="QT17" s="607">
        <f>[1]Субсидия_факт!JU15</f>
        <v>0</v>
      </c>
      <c r="QU17" s="678">
        <f>[1]Субсидия_факт!JY15</f>
        <v>0</v>
      </c>
      <c r="QV17" s="332">
        <f>[1]Субсидия_факт!KW15</f>
        <v>0</v>
      </c>
      <c r="QW17" s="791">
        <f>[1]Субсидия_факт!LC15</f>
        <v>0</v>
      </c>
      <c r="QX17" s="332">
        <f>[1]Субсидия_факт!KK15</f>
        <v>0</v>
      </c>
      <c r="QY17" s="686">
        <f>[1]Субсидия_факт!KQ15</f>
        <v>0</v>
      </c>
      <c r="QZ17" s="570">
        <f t="shared" si="103"/>
        <v>0</v>
      </c>
      <c r="RA17" s="530"/>
      <c r="RB17" s="678"/>
      <c r="RC17" s="462"/>
      <c r="RD17" s="682"/>
      <c r="RE17" s="530"/>
      <c r="RF17" s="794"/>
      <c r="RG17" s="529"/>
      <c r="RH17" s="765"/>
      <c r="RI17" s="487">
        <f>[1]Субсидия_факт!PW15</f>
        <v>20186975.48</v>
      </c>
      <c r="RJ17" s="1240">
        <f t="shared" si="178"/>
        <v>20186975.48</v>
      </c>
      <c r="RK17" s="522">
        <f>'Прочая  субсидия_МР  и  ГО'!B13</f>
        <v>33702929.649999999</v>
      </c>
      <c r="RL17" s="517">
        <f>'Прочая  субсидия_МР  и  ГО'!C13</f>
        <v>30415480.049999997</v>
      </c>
      <c r="RM17" s="522">
        <f>'Прочая  субсидия_БП'!B13</f>
        <v>30823539.690000001</v>
      </c>
      <c r="RN17" s="524">
        <f>'Прочая  субсидия_БП'!C13</f>
        <v>23756184.330000002</v>
      </c>
      <c r="RO17" s="565">
        <f>'Прочая  субсидия_БП'!D13</f>
        <v>30823539.690000001</v>
      </c>
      <c r="RP17" s="564">
        <f>'Прочая  субсидия_БП'!E13</f>
        <v>23756184.330000002</v>
      </c>
      <c r="RQ17" s="571">
        <f>'Прочая  субсидия_БП'!F13</f>
        <v>0</v>
      </c>
      <c r="RR17" s="564">
        <f>'Прочая  субсидия_БП'!G13</f>
        <v>0</v>
      </c>
      <c r="RS17" s="487">
        <f t="shared" si="104"/>
        <v>224881588</v>
      </c>
      <c r="RT17" s="452">
        <f>'Проверочная  таблица'!SR17+'Проверочная  таблица'!RY17+'Проверочная  таблица'!SA17+'Проверочная  таблица'!SC17</f>
        <v>219515743</v>
      </c>
      <c r="RU17" s="332">
        <f>'Проверочная  таблица'!SS17+'Проверочная  таблица'!SE17+'Проверочная  таблица'!SK17+'Проверочная  таблица'!SG17+'Проверочная  таблица'!SO17+'Проверочная  таблица'!SI17+SM17</f>
        <v>5365845</v>
      </c>
      <c r="RV17" s="517">
        <f t="shared" si="105"/>
        <v>165304519.5</v>
      </c>
      <c r="RW17" s="430">
        <f>'Проверочная  таблица'!SU17+'Проверочная  таблица'!RZ17+'Проверочная  таблица'!SB17+'Проверочная  таблица'!SD17</f>
        <v>163567849.88</v>
      </c>
      <c r="RX17" s="332">
        <f>'Проверочная  таблица'!SV17+'Проверочная  таблица'!SF17+'Проверочная  таблица'!SL17+'Проверочная  таблица'!SH17+'Проверочная  таблица'!SP17+'Проверочная  таблица'!SJ17+SN17</f>
        <v>1736669.62</v>
      </c>
      <c r="RY17" s="559">
        <f>'Субвенция  на  полномочия'!B13</f>
        <v>205778743</v>
      </c>
      <c r="RZ17" s="454">
        <f>'Субвенция  на  полномочия'!C13</f>
        <v>154570849.88</v>
      </c>
      <c r="SA17" s="732">
        <f>[1]Субвенция_факт!P14*1000</f>
        <v>11210000</v>
      </c>
      <c r="SB17" s="1389">
        <v>7245000</v>
      </c>
      <c r="SC17" s="732">
        <f>[1]Субвенция_факт!K14*1000</f>
        <v>1865000</v>
      </c>
      <c r="SD17" s="1389">
        <v>1090000</v>
      </c>
      <c r="SE17" s="732">
        <f>[1]Субвенция_факт!AD14*1000</f>
        <v>1004300</v>
      </c>
      <c r="SF17" s="735">
        <v>683683.49</v>
      </c>
      <c r="SG17" s="732">
        <f>[1]Субвенция_факт!AE14*1000</f>
        <v>5000</v>
      </c>
      <c r="SH17" s="735">
        <v>5000</v>
      </c>
      <c r="SI17" s="732">
        <f>[1]Субвенция_факт!E14*1000</f>
        <v>2506545</v>
      </c>
      <c r="SJ17" s="735"/>
      <c r="SK17" s="732">
        <f>[1]Субвенция_факт!F14*1000</f>
        <v>0</v>
      </c>
      <c r="SL17" s="866"/>
      <c r="SM17" s="163">
        <f>[1]Субвенция_факт!G14*1000</f>
        <v>0</v>
      </c>
      <c r="SN17" s="867"/>
      <c r="SO17" s="732">
        <f>[1]Субвенция_факт!H14*1000</f>
        <v>0</v>
      </c>
      <c r="SP17" s="735"/>
      <c r="SQ17" s="524">
        <f t="shared" si="106"/>
        <v>2512000</v>
      </c>
      <c r="SR17" s="865">
        <f>[1]Субвенция_факт!AC14*1000</f>
        <v>662000</v>
      </c>
      <c r="SS17" s="1040">
        <f>[1]Субвенция_факт!AB14*1000</f>
        <v>1850000</v>
      </c>
      <c r="ST17" s="517">
        <f t="shared" si="107"/>
        <v>1709986.13</v>
      </c>
      <c r="SU17" s="1503">
        <v>662000</v>
      </c>
      <c r="SV17" s="1506">
        <v>1047986.13</v>
      </c>
      <c r="SW17" s="271">
        <f>'Проверочная  таблица'!VC17+'Проверочная  таблица'!UY17+'Проверочная  таблица'!TQ17+'Проверочная  таблица'!TU17+SY17+'Проверочная  таблица'!US17+UC17+UI17</f>
        <v>0</v>
      </c>
      <c r="SX17" s="163">
        <f>'Проверочная  таблица'!VE17+'Проверочная  таблица'!VA17+'Проверочная  таблица'!TS17+'Проверочная  таблица'!TW17+TH17+'Проверочная  таблица'!UV17+UF17+UL17</f>
        <v>0</v>
      </c>
      <c r="SY17" s="1129">
        <f t="shared" si="108"/>
        <v>0</v>
      </c>
      <c r="SZ17" s="1114">
        <f>'[1]Иные межбюджетные трансферты'!O15</f>
        <v>0</v>
      </c>
      <c r="TA17" s="1111">
        <f>'[1]Иные межбюджетные трансферты'!Q15</f>
        <v>0</v>
      </c>
      <c r="TB17" s="879">
        <f>'[1]Иные межбюджетные трансферты'!I15</f>
        <v>0</v>
      </c>
      <c r="TC17" s="1111">
        <f>'[1]Иные межбюджетные трансферты'!K15</f>
        <v>0</v>
      </c>
      <c r="TD17" s="879">
        <f>'[1]Иные межбюджетные трансферты'!S15</f>
        <v>0</v>
      </c>
      <c r="TE17" s="958">
        <f>'[1]Иные межбюджетные трансферты'!U15</f>
        <v>0</v>
      </c>
      <c r="TF17" s="1236">
        <f>'[1]Иные межбюджетные трансферты'!M15</f>
        <v>0</v>
      </c>
      <c r="TG17" s="1231">
        <f>'[1]Иные межбюджетные трансферты'!W15</f>
        <v>0</v>
      </c>
      <c r="TH17" s="991">
        <f t="shared" si="109"/>
        <v>0</v>
      </c>
      <c r="TI17" s="984"/>
      <c r="TJ17" s="982"/>
      <c r="TK17" s="879"/>
      <c r="TL17" s="958"/>
      <c r="TM17" s="879"/>
      <c r="TN17" s="958"/>
      <c r="TO17" s="984"/>
      <c r="TP17" s="1269"/>
      <c r="TQ17" s="973">
        <f t="shared" si="179"/>
        <v>0</v>
      </c>
      <c r="TR17" s="1458">
        <f>'[1]Иные межбюджетные трансферты'!Y15</f>
        <v>0</v>
      </c>
      <c r="TS17" s="973">
        <f t="shared" si="179"/>
        <v>0</v>
      </c>
      <c r="TT17" s="958"/>
      <c r="TU17" s="973">
        <f t="shared" ref="TU17" si="192">TV17</f>
        <v>0</v>
      </c>
      <c r="TV17" s="958">
        <f>'[1]Иные межбюджетные трансферты'!AA15</f>
        <v>0</v>
      </c>
      <c r="TW17" s="973">
        <f t="shared" si="110"/>
        <v>0</v>
      </c>
      <c r="TX17" s="1111"/>
      <c r="TY17" s="976">
        <f t="shared" si="111"/>
        <v>0</v>
      </c>
      <c r="TZ17" s="970">
        <f t="shared" si="112"/>
        <v>0</v>
      </c>
      <c r="UA17" s="1266">
        <f t="shared" si="181"/>
        <v>0</v>
      </c>
      <c r="UB17" s="976">
        <f t="shared" si="182"/>
        <v>0</v>
      </c>
      <c r="UC17" s="973">
        <f t="shared" si="113"/>
        <v>0</v>
      </c>
      <c r="UD17" s="1272">
        <f>'[1]Иные межбюджетные трансферты'!AE15</f>
        <v>0</v>
      </c>
      <c r="UE17" s="1145">
        <f>'[1]Иные межбюджетные трансферты'!AK15</f>
        <v>0</v>
      </c>
      <c r="UF17" s="973">
        <f t="shared" si="114"/>
        <v>0</v>
      </c>
      <c r="UG17" s="958"/>
      <c r="UH17" s="958"/>
      <c r="UI17" s="973">
        <f t="shared" si="115"/>
        <v>0</v>
      </c>
      <c r="UJ17" s="1272">
        <f>'[1]Иные межбюджетные трансферты'!AG15</f>
        <v>0</v>
      </c>
      <c r="UK17" s="1145">
        <f>'[1]Иные межбюджетные трансферты'!AM15</f>
        <v>0</v>
      </c>
      <c r="UL17" s="973">
        <f t="shared" si="116"/>
        <v>0</v>
      </c>
      <c r="UM17" s="958"/>
      <c r="UN17" s="1111"/>
      <c r="UO17" s="976">
        <f t="shared" si="183"/>
        <v>0</v>
      </c>
      <c r="UP17" s="970">
        <f t="shared" si="184"/>
        <v>0</v>
      </c>
      <c r="UQ17" s="970">
        <f t="shared" si="185"/>
        <v>0</v>
      </c>
      <c r="UR17" s="1462">
        <f t="shared" si="186"/>
        <v>0</v>
      </c>
      <c r="US17" s="1263">
        <f t="shared" si="117"/>
        <v>0</v>
      </c>
      <c r="UT17" s="1040">
        <f>'[1]Иные межбюджетные трансферты'!E15</f>
        <v>0</v>
      </c>
      <c r="UU17" s="1126">
        <f>'[1]Иные межбюджетные трансферты'!G15</f>
        <v>0</v>
      </c>
      <c r="UV17" s="733">
        <f t="shared" si="118"/>
        <v>0</v>
      </c>
      <c r="UW17" s="1040"/>
      <c r="UX17" s="1126"/>
      <c r="UY17" s="880">
        <f t="shared" si="119"/>
        <v>0</v>
      </c>
      <c r="UZ17" s="958"/>
      <c r="VA17" s="1039">
        <f t="shared" si="120"/>
        <v>0</v>
      </c>
      <c r="VB17" s="890"/>
      <c r="VC17" s="510">
        <f t="shared" si="121"/>
        <v>0</v>
      </c>
      <c r="VD17" s="874">
        <f>'[1]Иные межбюджетные трансферты'!AS15</f>
        <v>0</v>
      </c>
      <c r="VE17" s="510">
        <f t="shared" si="122"/>
        <v>0</v>
      </c>
      <c r="VF17" s="513"/>
      <c r="VG17" s="886">
        <f t="shared" si="123"/>
        <v>0</v>
      </c>
      <c r="VH17" s="511">
        <f>'Проверочная  таблица'!VD17-VL17</f>
        <v>0</v>
      </c>
      <c r="VI17" s="886">
        <f t="shared" si="124"/>
        <v>0</v>
      </c>
      <c r="VJ17" s="511">
        <f>'Проверочная  таблица'!VF17-VN17</f>
        <v>0</v>
      </c>
      <c r="VK17" s="886">
        <f t="shared" si="125"/>
        <v>0</v>
      </c>
      <c r="VL17" s="874">
        <f>'[1]Иные межбюджетные трансферты'!AU15</f>
        <v>0</v>
      </c>
      <c r="VM17" s="1038">
        <f t="shared" si="126"/>
        <v>0</v>
      </c>
      <c r="VN17" s="513"/>
      <c r="VO17" s="517">
        <f>VQ17+'Проверочная  таблица'!VY17+VU17+'Проверочная  таблица'!WC17+VW17+'Проверочная  таблица'!WE17</f>
        <v>-21160000</v>
      </c>
      <c r="VP17" s="517">
        <f>VR17+'Проверочная  таблица'!VZ17+VV17+'Проверочная  таблица'!WD17+VX17+'Проверочная  таблица'!WF17</f>
        <v>-8160000</v>
      </c>
      <c r="VQ17" s="531"/>
      <c r="VR17" s="531"/>
      <c r="VS17" s="531">
        <v>240000</v>
      </c>
      <c r="VT17" s="531">
        <v>240000</v>
      </c>
      <c r="VU17" s="528">
        <f t="shared" si="127"/>
        <v>240000</v>
      </c>
      <c r="VV17" s="526">
        <f t="shared" si="128"/>
        <v>240000</v>
      </c>
      <c r="VW17" s="532"/>
      <c r="VX17" s="521"/>
      <c r="VY17" s="531">
        <v>-21000000</v>
      </c>
      <c r="VZ17" s="531">
        <v>-8000000</v>
      </c>
      <c r="WA17" s="531">
        <v>-400000</v>
      </c>
      <c r="WB17" s="531">
        <f>-400000</f>
        <v>-400000</v>
      </c>
      <c r="WC17" s="528">
        <f t="shared" si="129"/>
        <v>-400000</v>
      </c>
      <c r="WD17" s="526">
        <f t="shared" si="130"/>
        <v>-400000</v>
      </c>
      <c r="WE17" s="521"/>
      <c r="WF17" s="521"/>
      <c r="WG17" s="1356">
        <f>'Проверочная  таблица'!VY17+'Проверочная  таблица'!WA17</f>
        <v>-21400000</v>
      </c>
      <c r="WH17" s="1356">
        <f>'Проверочная  таблица'!VZ17+'Проверочная  таблица'!WB17</f>
        <v>-8400000</v>
      </c>
      <c r="WI17" s="1481"/>
    </row>
    <row r="18" spans="1:607" s="329" customFormat="1" ht="25.5" customHeight="1" x14ac:dyDescent="0.3">
      <c r="A18" s="339" t="s">
        <v>94</v>
      </c>
      <c r="B18" s="524">
        <f>D18+AI18+'Проверочная  таблица'!RS18+'Проверочная  таблица'!SW18</f>
        <v>608224677.31999993</v>
      </c>
      <c r="C18" s="517">
        <f>E18+'Проверочная  таблица'!RV18+AJ18+'Проверочная  таблица'!SX18</f>
        <v>493759988.92000002</v>
      </c>
      <c r="D18" s="522">
        <f t="shared" si="0"/>
        <v>113688478</v>
      </c>
      <c r="E18" s="524">
        <f t="shared" si="1"/>
        <v>87201924</v>
      </c>
      <c r="F18" s="1062">
        <f>'[1]Дотация  из  ОБ_факт'!I14+'[1]Дотация  из  ОБ_факт'!Q14</f>
        <v>35011900</v>
      </c>
      <c r="G18" s="1366">
        <v>30369672</v>
      </c>
      <c r="H18" s="563">
        <f>'[1]Дотация  из  ОБ_факт'!K14</f>
        <v>33836700</v>
      </c>
      <c r="I18" s="1366">
        <v>26588520</v>
      </c>
      <c r="J18" s="564">
        <f t="shared" si="2"/>
        <v>33836700</v>
      </c>
      <c r="K18" s="571">
        <f t="shared" si="3"/>
        <v>26588520</v>
      </c>
      <c r="L18" s="883">
        <f>'[1]Дотация  из  ОБ_факт'!O14</f>
        <v>0</v>
      </c>
      <c r="M18" s="745"/>
      <c r="N18" s="563">
        <f>'[1]Дотация  из  ОБ_факт'!U14</f>
        <v>16524277.999999998</v>
      </c>
      <c r="O18" s="1366">
        <v>10689000</v>
      </c>
      <c r="P18" s="784">
        <f>'[1]Дотация  из  ОБ_факт'!W14</f>
        <v>28315600</v>
      </c>
      <c r="Q18" s="1366">
        <v>19554732</v>
      </c>
      <c r="R18" s="571">
        <f t="shared" si="4"/>
        <v>28315600</v>
      </c>
      <c r="S18" s="564">
        <f t="shared" si="5"/>
        <v>19554732</v>
      </c>
      <c r="T18" s="1059">
        <f>'[1]Дотация  из  ОБ_факт'!AA14</f>
        <v>0</v>
      </c>
      <c r="U18" s="331"/>
      <c r="V18" s="784">
        <f>'[1]Дотация  из  ОБ_факт'!AE14+'[1]Дотация  из  ОБ_факт'!AG14+'[1]Дотация  из  ОБ_факт'!AK14</f>
        <v>0</v>
      </c>
      <c r="W18" s="163">
        <f t="shared" si="6"/>
        <v>0</v>
      </c>
      <c r="X18" s="567"/>
      <c r="Y18" s="566"/>
      <c r="Z18" s="567"/>
      <c r="AA18" s="563">
        <f>'[1]Дотация  из  ОБ_факт'!AC14+'[1]Дотация  из  ОБ_факт'!AI14</f>
        <v>0</v>
      </c>
      <c r="AB18" s="165">
        <f t="shared" si="7"/>
        <v>0</v>
      </c>
      <c r="AC18" s="566"/>
      <c r="AD18" s="567"/>
      <c r="AE18" s="564">
        <f t="shared" si="8"/>
        <v>0</v>
      </c>
      <c r="AF18" s="571">
        <f t="shared" si="9"/>
        <v>0</v>
      </c>
      <c r="AG18" s="565">
        <f>'[1]Дотация  из  ОБ_факт'!AI14</f>
        <v>0</v>
      </c>
      <c r="AH18" s="1370">
        <f t="shared" si="131"/>
        <v>0</v>
      </c>
      <c r="AI18" s="559">
        <f>'Проверочная  таблица'!KI18+NU18+OA18+'Проверочная  таблица'!RK18+'Проверочная  таблица'!RM18+DE18+DG18+DM18+DO18+'Проверочная  таблица'!MY18+'Проверочная  таблица'!NC18+CG18+CQ18+'Проверочная  таблица'!HE18+'Проверочная  таблица'!HW18+'Проверочная  таблица'!ES18+'Проверочная  таблица'!JY18+DU18+'Проверочная  таблица'!GA18+'Проверочная  таблица'!GG18+'Проверочная  таблица'!LG18+'Проверочная  таблица'!LU18+FU18+'Проверочная  таблица'!KU18+RI18+OS18+PG18+EK18+AK18+AW18+FO18+FE18+GY18+EY18</f>
        <v>170329179.31999999</v>
      </c>
      <c r="AJ18" s="487">
        <f>'Проверочная  таблица'!KO18+NX18+OD18+'Проверочная  таблица'!RL18+'Проверочная  таблица'!RN18+DF18+DH18+DN18+DP18+'Проверочная  таблица'!NA18+'Проверочная  таблица'!NF18+CL18+CV18+'Проверочная  таблица'!HN18+'Проверочная  таблица'!IF18+'Проверочная  таблица'!EV18+'Проверочная  таблица'!KD18+EC18+'Проверочная  таблица'!GD18+'Проверочная  таблица'!GJ18+'Проверочная  таблица'!LN18+'Проверочная  таблица'!LZ18+FX18+'Проверочная  таблица'!KY18+FR18+RJ18+PP18+OZ18+EM18+AQ18+BC18+FJ18+HB18+FB18</f>
        <v>141217975.93000001</v>
      </c>
      <c r="AK18" s="487">
        <f t="shared" si="10"/>
        <v>3232503</v>
      </c>
      <c r="AL18" s="332">
        <f>[1]Субсидия_факт!CO16</f>
        <v>0</v>
      </c>
      <c r="AM18" s="523">
        <f>[1]Субсидия_факт!FK16</f>
        <v>3232503</v>
      </c>
      <c r="AN18" s="498">
        <f>[1]Субсидия_факт!FW16</f>
        <v>0</v>
      </c>
      <c r="AO18" s="523">
        <f>[1]Субсидия_факт!KA16</f>
        <v>0</v>
      </c>
      <c r="AP18" s="332">
        <f>[1]Субсидия_факт!LE16</f>
        <v>0</v>
      </c>
      <c r="AQ18" s="487">
        <f t="shared" si="11"/>
        <v>3232503</v>
      </c>
      <c r="AR18" s="462"/>
      <c r="AS18" s="1479">
        <f>AM18</f>
        <v>3232503</v>
      </c>
      <c r="AT18" s="462"/>
      <c r="AU18" s="462"/>
      <c r="AV18" s="462"/>
      <c r="AW18" s="487">
        <f t="shared" si="132"/>
        <v>0</v>
      </c>
      <c r="AX18" s="452">
        <f>[1]Субсидия_факт!CQ16</f>
        <v>0</v>
      </c>
      <c r="AY18" s="332">
        <f>[1]Субсидия_факт!FO16</f>
        <v>0</v>
      </c>
      <c r="AZ18" s="476">
        <f>[1]Субсидия_факт!JK16</f>
        <v>0</v>
      </c>
      <c r="BA18" s="496">
        <f>[1]Субсидия_факт!KC16</f>
        <v>0</v>
      </c>
      <c r="BB18" s="498">
        <f>[1]Субсидия_факт!LG16</f>
        <v>0</v>
      </c>
      <c r="BC18" s="487">
        <f t="shared" si="133"/>
        <v>0</v>
      </c>
      <c r="BD18" s="529"/>
      <c r="BE18" s="529"/>
      <c r="BF18" s="333"/>
      <c r="BG18" s="530"/>
      <c r="BH18" s="529"/>
      <c r="BI18" s="657">
        <f t="shared" si="134"/>
        <v>0</v>
      </c>
      <c r="BJ18" s="1025">
        <f t="shared" si="12"/>
        <v>0</v>
      </c>
      <c r="BK18" s="452">
        <f t="shared" si="13"/>
        <v>0</v>
      </c>
      <c r="BL18" s="452">
        <f t="shared" si="14"/>
        <v>0</v>
      </c>
      <c r="BM18" s="332">
        <f t="shared" si="15"/>
        <v>0</v>
      </c>
      <c r="BN18" s="488">
        <f t="shared" si="16"/>
        <v>0</v>
      </c>
      <c r="BO18" s="657">
        <f t="shared" si="135"/>
        <v>0</v>
      </c>
      <c r="BP18" s="607">
        <f t="shared" si="17"/>
        <v>0</v>
      </c>
      <c r="BQ18" s="496">
        <f t="shared" si="18"/>
        <v>0</v>
      </c>
      <c r="BR18" s="332">
        <f t="shared" si="19"/>
        <v>0</v>
      </c>
      <c r="BS18" s="430">
        <f t="shared" si="20"/>
        <v>0</v>
      </c>
      <c r="BT18" s="332">
        <f t="shared" si="21"/>
        <v>0</v>
      </c>
      <c r="BU18" s="657">
        <f t="shared" si="136"/>
        <v>0</v>
      </c>
      <c r="BV18" s="452">
        <f>[1]Субсидия_факт!CS16</f>
        <v>0</v>
      </c>
      <c r="BW18" s="332">
        <f>[1]Субсидия_факт!FQ16</f>
        <v>0</v>
      </c>
      <c r="BX18" s="476">
        <f>[1]Субсидия_факт!JM16</f>
        <v>0</v>
      </c>
      <c r="BY18" s="430">
        <f>[1]Субсидия_факт!KE16</f>
        <v>0</v>
      </c>
      <c r="BZ18" s="332">
        <f>[1]Субсидия_факт!LI16</f>
        <v>0</v>
      </c>
      <c r="CA18" s="659">
        <f t="shared" si="137"/>
        <v>0</v>
      </c>
      <c r="CB18" s="782"/>
      <c r="CC18" s="529"/>
      <c r="CD18" s="462"/>
      <c r="CE18" s="529"/>
      <c r="CF18" s="529"/>
      <c r="CG18" s="517">
        <f t="shared" si="22"/>
        <v>28574559</v>
      </c>
      <c r="CH18" s="430">
        <f>[1]Субсидия_факт!LM16</f>
        <v>0</v>
      </c>
      <c r="CI18" s="452">
        <f>[1]Субсидия_факт!LS16</f>
        <v>28574559</v>
      </c>
      <c r="CJ18" s="332">
        <f>[1]Субсидия_факт!ME16</f>
        <v>0</v>
      </c>
      <c r="CK18" s="511">
        <f>[1]Субсидия_факт!MK16</f>
        <v>0</v>
      </c>
      <c r="CL18" s="517">
        <f t="shared" si="23"/>
        <v>22028015.550000001</v>
      </c>
      <c r="CM18" s="529"/>
      <c r="CN18" s="529">
        <v>22028015.550000001</v>
      </c>
      <c r="CO18" s="529"/>
      <c r="CP18" s="610"/>
      <c r="CQ18" s="517">
        <f t="shared" si="24"/>
        <v>0</v>
      </c>
      <c r="CR18" s="452">
        <f>[1]Субсидия_факт!LO16</f>
        <v>0</v>
      </c>
      <c r="CS18" s="452">
        <f>[1]Субсидия_факт!LU16</f>
        <v>0</v>
      </c>
      <c r="CT18" s="332">
        <f>[1]Субсидия_факт!MG16</f>
        <v>0</v>
      </c>
      <c r="CU18" s="511">
        <f>[1]Субсидия_факт!MM16</f>
        <v>0</v>
      </c>
      <c r="CV18" s="517">
        <f t="shared" si="25"/>
        <v>0</v>
      </c>
      <c r="CW18" s="529"/>
      <c r="CX18" s="530"/>
      <c r="CY18" s="782"/>
      <c r="CZ18" s="719"/>
      <c r="DA18" s="528">
        <f t="shared" si="138"/>
        <v>0</v>
      </c>
      <c r="DB18" s="526">
        <f t="shared" si="139"/>
        <v>0</v>
      </c>
      <c r="DC18" s="525">
        <f t="shared" si="140"/>
        <v>0</v>
      </c>
      <c r="DD18" s="528">
        <f t="shared" si="141"/>
        <v>0</v>
      </c>
      <c r="DE18" s="524">
        <f>[1]Субсидия_факт!GC16</f>
        <v>2113487.04</v>
      </c>
      <c r="DF18" s="1389">
        <v>634046.11</v>
      </c>
      <c r="DG18" s="522">
        <f>[1]Субсидия_факт!GE16</f>
        <v>0</v>
      </c>
      <c r="DH18" s="330"/>
      <c r="DI18" s="757">
        <f t="shared" si="142"/>
        <v>0</v>
      </c>
      <c r="DJ18" s="570">
        <f t="shared" si="143"/>
        <v>0</v>
      </c>
      <c r="DK18" s="757">
        <f>[1]Субсидия_факт!GG16</f>
        <v>0</v>
      </c>
      <c r="DL18" s="1387">
        <f t="shared" si="144"/>
        <v>0</v>
      </c>
      <c r="DM18" s="516">
        <f>[1]Субсидия_факт!GI16</f>
        <v>111236.16</v>
      </c>
      <c r="DN18" s="1382">
        <v>33370.85</v>
      </c>
      <c r="DO18" s="517">
        <f>[1]Субсидия_факт!GK16</f>
        <v>0</v>
      </c>
      <c r="DP18" s="604"/>
      <c r="DQ18" s="526">
        <f t="shared" si="28"/>
        <v>0</v>
      </c>
      <c r="DR18" s="526">
        <f t="shared" si="29"/>
        <v>0</v>
      </c>
      <c r="DS18" s="653">
        <f t="shared" si="30"/>
        <v>0</v>
      </c>
      <c r="DT18" s="1385">
        <f t="shared" si="145"/>
        <v>0</v>
      </c>
      <c r="DU18" s="517">
        <f t="shared" si="31"/>
        <v>0</v>
      </c>
      <c r="DV18" s="523">
        <f>[1]Субсидия_факт!E16</f>
        <v>0</v>
      </c>
      <c r="DW18" s="1025">
        <f>[1]Субсидия_факт!G16</f>
        <v>0</v>
      </c>
      <c r="DX18" s="678">
        <f>[1]Субсидия_факт!I16</f>
        <v>0</v>
      </c>
      <c r="DY18" s="636">
        <f>[1]Субсидия_факт!K16</f>
        <v>0</v>
      </c>
      <c r="DZ18" s="786">
        <f>[1]Субсидия_факт!M16</f>
        <v>0</v>
      </c>
      <c r="EA18" s="498">
        <f>[1]Субсидия_факт!O16</f>
        <v>0</v>
      </c>
      <c r="EB18" s="636">
        <f>[1]Субсидия_факт!Q16</f>
        <v>0</v>
      </c>
      <c r="EC18" s="516">
        <f t="shared" si="32"/>
        <v>0</v>
      </c>
      <c r="ED18" s="530"/>
      <c r="EE18" s="529"/>
      <c r="EF18" s="682"/>
      <c r="EG18" s="529"/>
      <c r="EH18" s="682"/>
      <c r="EI18" s="530"/>
      <c r="EJ18" s="607">
        <f t="shared" si="146"/>
        <v>0</v>
      </c>
      <c r="EK18" s="516">
        <f t="shared" si="147"/>
        <v>0</v>
      </c>
      <c r="EL18" s="1223">
        <f>[1]Субсидия_факт!S16</f>
        <v>0</v>
      </c>
      <c r="EM18" s="524">
        <f t="shared" si="147"/>
        <v>0</v>
      </c>
      <c r="EN18" s="607">
        <f t="shared" si="148"/>
        <v>0</v>
      </c>
      <c r="EO18" s="570">
        <f t="shared" si="149"/>
        <v>0</v>
      </c>
      <c r="EP18" s="633">
        <f t="shared" si="150"/>
        <v>0</v>
      </c>
      <c r="EQ18" s="633">
        <f>[1]Субсидия_факт!U16</f>
        <v>0</v>
      </c>
      <c r="ER18" s="1245">
        <f t="shared" si="151"/>
        <v>0</v>
      </c>
      <c r="ES18" s="487">
        <f t="shared" si="33"/>
        <v>0</v>
      </c>
      <c r="ET18" s="511">
        <f>[1]Субсидия_факт!AU16</f>
        <v>0</v>
      </c>
      <c r="EU18" s="890">
        <f>[1]Субсидия_факт!AW16</f>
        <v>0</v>
      </c>
      <c r="EV18" s="454">
        <f t="shared" si="34"/>
        <v>0</v>
      </c>
      <c r="EW18" s="777"/>
      <c r="EX18" s="1095"/>
      <c r="EY18" s="487">
        <f t="shared" si="35"/>
        <v>0</v>
      </c>
      <c r="EZ18" s="511">
        <f>[1]Субсидия_факт!FY16</f>
        <v>0</v>
      </c>
      <c r="FA18" s="890">
        <f>[1]Субсидия_факт!GA16</f>
        <v>0</v>
      </c>
      <c r="FB18" s="454">
        <f t="shared" si="36"/>
        <v>0</v>
      </c>
      <c r="FC18" s="777"/>
      <c r="FD18" s="1095"/>
      <c r="FE18" s="517">
        <f t="shared" si="152"/>
        <v>0</v>
      </c>
      <c r="FF18" s="430">
        <f>[1]Субсидия_факт!W16</f>
        <v>0</v>
      </c>
      <c r="FG18" s="931">
        <f>[1]Субсидия_факт!Y16</f>
        <v>0</v>
      </c>
      <c r="FH18" s="452">
        <f>[1]Субсидия_факт!AA16</f>
        <v>0</v>
      </c>
      <c r="FI18" s="686">
        <f>[1]Субсидия_факт!AC16</f>
        <v>0</v>
      </c>
      <c r="FJ18" s="516">
        <f t="shared" si="153"/>
        <v>0</v>
      </c>
      <c r="FK18" s="462"/>
      <c r="FL18" s="682"/>
      <c r="FM18" s="462"/>
      <c r="FN18" s="682"/>
      <c r="FO18" s="487">
        <f t="shared" si="37"/>
        <v>0</v>
      </c>
      <c r="FP18" s="511">
        <f>[1]Субсидия_факт!AY16</f>
        <v>0</v>
      </c>
      <c r="FQ18" s="890">
        <f>[1]Субсидия_факт!BA16</f>
        <v>0</v>
      </c>
      <c r="FR18" s="454">
        <f t="shared" si="38"/>
        <v>0</v>
      </c>
      <c r="FS18" s="777"/>
      <c r="FT18" s="673"/>
      <c r="FU18" s="524">
        <f t="shared" si="154"/>
        <v>0</v>
      </c>
      <c r="FV18" s="498">
        <f>[1]Субсидия_факт!EE16</f>
        <v>0</v>
      </c>
      <c r="FW18" s="686">
        <f>[1]Субсидия_факт!EG16</f>
        <v>0</v>
      </c>
      <c r="FX18" s="517">
        <f t="shared" si="155"/>
        <v>0</v>
      </c>
      <c r="FY18" s="529"/>
      <c r="FZ18" s="704"/>
      <c r="GA18" s="559">
        <f t="shared" si="41"/>
        <v>1348233</v>
      </c>
      <c r="GB18" s="511">
        <f>[1]Субсидия_факт!DS16</f>
        <v>377507.09</v>
      </c>
      <c r="GC18" s="890">
        <f>[1]Субсидия_факт!DY16</f>
        <v>970725.91</v>
      </c>
      <c r="GD18" s="454">
        <f t="shared" si="42"/>
        <v>1348233</v>
      </c>
      <c r="GE18" s="1290">
        <f t="shared" ref="GE18:GF20" si="193">GB18</f>
        <v>377507.09</v>
      </c>
      <c r="GF18" s="671">
        <f t="shared" si="193"/>
        <v>970725.91</v>
      </c>
      <c r="GG18" s="454">
        <f t="shared" si="43"/>
        <v>0</v>
      </c>
      <c r="GH18" s="511">
        <f>[1]Субсидия_факт!DU16</f>
        <v>0</v>
      </c>
      <c r="GI18" s="751">
        <f>[1]Субсидия_факт!EA16</f>
        <v>0</v>
      </c>
      <c r="GJ18" s="454">
        <f t="shared" si="44"/>
        <v>0</v>
      </c>
      <c r="GK18" s="610"/>
      <c r="GL18" s="706"/>
      <c r="GM18" s="659">
        <f t="shared" si="45"/>
        <v>0</v>
      </c>
      <c r="GN18" s="749">
        <f>'Проверочная  таблица'!GH18-'Проверочная  таблица'!GT18</f>
        <v>0</v>
      </c>
      <c r="GO18" s="671">
        <f>'Проверочная  таблица'!GI18-'Проверочная  таблица'!GU18</f>
        <v>0</v>
      </c>
      <c r="GP18" s="653">
        <f t="shared" si="46"/>
        <v>0</v>
      </c>
      <c r="GQ18" s="756">
        <f>'Проверочная  таблица'!GK18-'Проверочная  таблица'!GW18</f>
        <v>0</v>
      </c>
      <c r="GR18" s="768">
        <f>'Проверочная  таблица'!GL18-'Проверочная  таблица'!GX18</f>
        <v>0</v>
      </c>
      <c r="GS18" s="659">
        <f t="shared" si="47"/>
        <v>0</v>
      </c>
      <c r="GT18" s="511">
        <f>[1]Субсидия_факт!DW16</f>
        <v>0</v>
      </c>
      <c r="GU18" s="890">
        <f>[1]Субсидия_факт!EC16</f>
        <v>0</v>
      </c>
      <c r="GV18" s="659">
        <f t="shared" si="48"/>
        <v>0</v>
      </c>
      <c r="GW18" s="511"/>
      <c r="GX18" s="751"/>
      <c r="GY18" s="454">
        <f t="shared" si="49"/>
        <v>0</v>
      </c>
      <c r="GZ18" s="756">
        <f>[1]Субсидия_факт!AE16</f>
        <v>0</v>
      </c>
      <c r="HA18" s="671">
        <f>[1]Субсидия_факт!AG16</f>
        <v>0</v>
      </c>
      <c r="HB18" s="454">
        <f t="shared" si="50"/>
        <v>0</v>
      </c>
      <c r="HC18" s="756"/>
      <c r="HD18" s="671"/>
      <c r="HE18" s="747">
        <f t="shared" si="51"/>
        <v>24221.010000000002</v>
      </c>
      <c r="HF18" s="756">
        <f>[1]Субсидия_факт!BW16</f>
        <v>0</v>
      </c>
      <c r="HG18" s="671">
        <f>[1]Субсидия_факт!CC16</f>
        <v>0</v>
      </c>
      <c r="HH18" s="511">
        <f>[1]Субсидия_факт!CU16</f>
        <v>21739.13</v>
      </c>
      <c r="HI18" s="890">
        <f>[1]Субсидия_факт!DA16</f>
        <v>2481.8799999999997</v>
      </c>
      <c r="HJ18" s="511">
        <f>[1]Субсидия_факт!DG16</f>
        <v>0</v>
      </c>
      <c r="HK18" s="890">
        <f>[1]Субсидия_факт!DM16</f>
        <v>0</v>
      </c>
      <c r="HL18" s="511">
        <f>[1]Субсидия_факт!EI16</f>
        <v>0</v>
      </c>
      <c r="HM18" s="751">
        <f>[1]Субсидия_факт!EO16</f>
        <v>0</v>
      </c>
      <c r="HN18" s="747">
        <f t="shared" si="52"/>
        <v>24221.010000000002</v>
      </c>
      <c r="HO18" s="610"/>
      <c r="HP18" s="673"/>
      <c r="HQ18" s="756">
        <f t="shared" si="156"/>
        <v>21739.13</v>
      </c>
      <c r="HR18" s="768">
        <f t="shared" si="188"/>
        <v>2481.8799999999997</v>
      </c>
      <c r="HS18" s="756">
        <f t="shared" si="157"/>
        <v>0</v>
      </c>
      <c r="HT18" s="1480">
        <f t="shared" si="158"/>
        <v>0</v>
      </c>
      <c r="HU18" s="610"/>
      <c r="HV18" s="673"/>
      <c r="HW18" s="747">
        <f t="shared" si="53"/>
        <v>20583333.34</v>
      </c>
      <c r="HX18" s="756">
        <f>[1]Субсидия_факт!BY16</f>
        <v>5763733.3399999999</v>
      </c>
      <c r="HY18" s="671">
        <f>[1]Субсидия_факт!CE16</f>
        <v>14819600</v>
      </c>
      <c r="HZ18" s="511">
        <f>[1]Субсидия_факт!CW16</f>
        <v>0</v>
      </c>
      <c r="IA18" s="751">
        <f>[1]Субсидия_факт!DC16</f>
        <v>0</v>
      </c>
      <c r="IB18" s="511">
        <f>[1]Субсидия_факт!DI16</f>
        <v>0</v>
      </c>
      <c r="IC18" s="890">
        <f>[1]Субсидия_факт!DO16</f>
        <v>0</v>
      </c>
      <c r="ID18" s="511">
        <f>[1]Субсидия_факт!EK16</f>
        <v>0</v>
      </c>
      <c r="IE18" s="751">
        <f>[1]Субсидия_факт!EQ16</f>
        <v>0</v>
      </c>
      <c r="IF18" s="747">
        <f t="shared" si="54"/>
        <v>3137463.3</v>
      </c>
      <c r="IG18" s="610">
        <v>878550.7</v>
      </c>
      <c r="IH18" s="673">
        <f>3137463.3-IG18</f>
        <v>2258912.5999999996</v>
      </c>
      <c r="II18" s="749">
        <f t="shared" si="159"/>
        <v>0</v>
      </c>
      <c r="IJ18" s="671">
        <f t="shared" si="160"/>
        <v>0</v>
      </c>
      <c r="IK18" s="777"/>
      <c r="IL18" s="673"/>
      <c r="IM18" s="610"/>
      <c r="IN18" s="673"/>
      <c r="IO18" s="750">
        <f t="shared" si="55"/>
        <v>20583333.34</v>
      </c>
      <c r="IP18" s="756">
        <f>'Проверочная  таблица'!HX18-JH18</f>
        <v>5763733.3399999999</v>
      </c>
      <c r="IQ18" s="671">
        <f>'Проверочная  таблица'!HY18-JI18</f>
        <v>14819600</v>
      </c>
      <c r="IR18" s="756">
        <f>'Проверочная  таблица'!HZ18-JJ18</f>
        <v>0</v>
      </c>
      <c r="IS18" s="671">
        <f>'Проверочная  таблица'!IA18-JK18</f>
        <v>0</v>
      </c>
      <c r="IT18" s="749">
        <f>'Проверочная  таблица'!IB18-JL18</f>
        <v>0</v>
      </c>
      <c r="IU18" s="671">
        <f>'Проверочная  таблица'!IC18-JM18</f>
        <v>0</v>
      </c>
      <c r="IV18" s="756">
        <f>'Проверочная  таблица'!ID18-JN18</f>
        <v>0</v>
      </c>
      <c r="IW18" s="671">
        <f>'Проверочная  таблица'!IE18-JO18</f>
        <v>0</v>
      </c>
      <c r="IX18" s="750">
        <f t="shared" si="56"/>
        <v>3137463.3</v>
      </c>
      <c r="IY18" s="756">
        <f>'Проверочная  таблица'!IG18-JQ18</f>
        <v>878550.7</v>
      </c>
      <c r="IZ18" s="810">
        <f>'Проверочная  таблица'!IH18-JR18</f>
        <v>2258912.5999999996</v>
      </c>
      <c r="JA18" s="756">
        <f>'Проверочная  таблица'!II18-JS18</f>
        <v>0</v>
      </c>
      <c r="JB18" s="768">
        <f>'Проверочная  таблица'!IJ18-JT18</f>
        <v>0</v>
      </c>
      <c r="JC18" s="756">
        <f>'Проверочная  таблица'!IK18-JU18</f>
        <v>0</v>
      </c>
      <c r="JD18" s="768">
        <f>'Проверочная  таблица'!IL18-JV18</f>
        <v>0</v>
      </c>
      <c r="JE18" s="756">
        <f>'Проверочная  таблица'!IM18-JW18</f>
        <v>0</v>
      </c>
      <c r="JF18" s="768">
        <f>'Проверочная  таблица'!IN18-JX18</f>
        <v>0</v>
      </c>
      <c r="JG18" s="659">
        <f t="shared" si="57"/>
        <v>0</v>
      </c>
      <c r="JH18" s="756">
        <f>[1]Субсидия_факт!CA16</f>
        <v>0</v>
      </c>
      <c r="JI18" s="671">
        <f>[1]Субсидия_факт!CG16</f>
        <v>0</v>
      </c>
      <c r="JJ18" s="511">
        <f>[1]Субсидия_факт!CY16</f>
        <v>0</v>
      </c>
      <c r="JK18" s="751">
        <f>[1]Субсидия_факт!DE16</f>
        <v>0</v>
      </c>
      <c r="JL18" s="511">
        <f>[1]Субсидия_факт!DK16</f>
        <v>0</v>
      </c>
      <c r="JM18" s="890">
        <f>[1]Субсидия_факт!DQ16</f>
        <v>0</v>
      </c>
      <c r="JN18" s="511">
        <f>[1]Субсидия_факт!EM16</f>
        <v>0</v>
      </c>
      <c r="JO18" s="751">
        <f>[1]Субсидия_факт!ES16</f>
        <v>0</v>
      </c>
      <c r="JP18" s="750">
        <f t="shared" si="58"/>
        <v>0</v>
      </c>
      <c r="JQ18" s="610"/>
      <c r="JR18" s="673"/>
      <c r="JS18" s="513"/>
      <c r="JT18" s="788"/>
      <c r="JU18" s="513"/>
      <c r="JV18" s="885"/>
      <c r="JW18" s="610"/>
      <c r="JX18" s="673"/>
      <c r="JY18" s="454">
        <f t="shared" si="161"/>
        <v>0</v>
      </c>
      <c r="JZ18" s="511">
        <f>[1]Субсидия_факт!BC16</f>
        <v>0</v>
      </c>
      <c r="KA18" s="890">
        <f>[1]Субсидия_факт!BE16</f>
        <v>0</v>
      </c>
      <c r="KB18" s="511">
        <f>[1]Субсидия_факт!BG16</f>
        <v>0</v>
      </c>
      <c r="KC18" s="890">
        <f>[1]Субсидия_факт!BI16</f>
        <v>0</v>
      </c>
      <c r="KD18" s="454">
        <f t="shared" si="162"/>
        <v>0</v>
      </c>
      <c r="KE18" s="610"/>
      <c r="KF18" s="673"/>
      <c r="KG18" s="610"/>
      <c r="KH18" s="673"/>
      <c r="KI18" s="524">
        <f t="shared" si="59"/>
        <v>427032.13</v>
      </c>
      <c r="KJ18" s="511">
        <f>[1]Субсидия_факт!HO16</f>
        <v>427032.13</v>
      </c>
      <c r="KK18" s="523">
        <f>[1]Субсидия_факт!HQ16</f>
        <v>0</v>
      </c>
      <c r="KL18" s="686">
        <f>[1]Субсидия_факт!HS16</f>
        <v>0</v>
      </c>
      <c r="KM18" s="636">
        <f>[1]Субсидия_факт!IC16</f>
        <v>0</v>
      </c>
      <c r="KN18" s="686">
        <f>[1]Субсидия_факт!IE16</f>
        <v>0</v>
      </c>
      <c r="KO18" s="487">
        <f t="shared" si="163"/>
        <v>427032.13</v>
      </c>
      <c r="KP18" s="756">
        <f t="shared" si="164"/>
        <v>427032.13</v>
      </c>
      <c r="KQ18" s="333"/>
      <c r="KR18" s="682"/>
      <c r="KS18" s="462"/>
      <c r="KT18" s="682"/>
      <c r="KU18" s="454">
        <f t="shared" si="60"/>
        <v>0</v>
      </c>
      <c r="KV18" s="513">
        <f>[1]Субсидия_факт!HY16</f>
        <v>0</v>
      </c>
      <c r="KW18" s="513">
        <f>[1]Субсидия_факт!HU16</f>
        <v>0</v>
      </c>
      <c r="KX18" s="751">
        <f>[1]Субсидия_факт!HW16</f>
        <v>0</v>
      </c>
      <c r="KY18" s="454">
        <f t="shared" si="61"/>
        <v>0</v>
      </c>
      <c r="KZ18" s="756">
        <f t="shared" si="165"/>
        <v>0</v>
      </c>
      <c r="LA18" s="610"/>
      <c r="LB18" s="673"/>
      <c r="LC18" s="886">
        <f t="shared" si="62"/>
        <v>0</v>
      </c>
      <c r="LD18" s="886">
        <f t="shared" si="63"/>
        <v>0</v>
      </c>
      <c r="LE18" s="657">
        <f t="shared" si="64"/>
        <v>0</v>
      </c>
      <c r="LF18" s="1038">
        <f t="shared" si="65"/>
        <v>0</v>
      </c>
      <c r="LG18" s="753">
        <f t="shared" si="166"/>
        <v>0</v>
      </c>
      <c r="LH18" s="511">
        <f>[1]Субсидия_факт!OG16</f>
        <v>0</v>
      </c>
      <c r="LI18" s="890">
        <f>[1]Субсидия_факт!OM16</f>
        <v>0</v>
      </c>
      <c r="LJ18" s="511">
        <f>[1]Субсидия_факт!OS16</f>
        <v>0</v>
      </c>
      <c r="LK18" s="890">
        <f>[1]Субсидия_факт!OY16</f>
        <v>0</v>
      </c>
      <c r="LL18" s="756">
        <f>[1]Субсидия_факт!PE16</f>
        <v>0</v>
      </c>
      <c r="LM18" s="768">
        <f>[1]Субсидия_факт!PI16</f>
        <v>0</v>
      </c>
      <c r="LN18" s="753">
        <f t="shared" si="66"/>
        <v>0</v>
      </c>
      <c r="LO18" s="777"/>
      <c r="LP18" s="673"/>
      <c r="LQ18" s="610"/>
      <c r="LR18" s="776"/>
      <c r="LS18" s="610"/>
      <c r="LT18" s="776"/>
      <c r="LU18" s="753">
        <f t="shared" si="67"/>
        <v>0</v>
      </c>
      <c r="LV18" s="511">
        <f>[1]Субсидия_факт!OI16</f>
        <v>0</v>
      </c>
      <c r="LW18" s="890">
        <f>[1]Субсидия_факт!OO16</f>
        <v>0</v>
      </c>
      <c r="LX18" s="513">
        <f>[1]Субсидия_факт!OU16</f>
        <v>0</v>
      </c>
      <c r="LY18" s="751">
        <f>[1]Субсидия_факт!PA16</f>
        <v>0</v>
      </c>
      <c r="LZ18" s="754">
        <f t="shared" si="68"/>
        <v>0</v>
      </c>
      <c r="MA18" s="610"/>
      <c r="MB18" s="776"/>
      <c r="MC18" s="610"/>
      <c r="MD18" s="673"/>
      <c r="ME18" s="652">
        <f t="shared" si="69"/>
        <v>0</v>
      </c>
      <c r="MF18" s="642">
        <f>'Проверочная  таблица'!LV18-MP18</f>
        <v>0</v>
      </c>
      <c r="MG18" s="678">
        <f>'Проверочная  таблица'!LW18-MQ18</f>
        <v>0</v>
      </c>
      <c r="MH18" s="765">
        <f>'Проверочная  таблица'!LY18-MR18</f>
        <v>0</v>
      </c>
      <c r="MI18" s="607">
        <f>'Проверочная  таблица'!LX18-MS18</f>
        <v>0</v>
      </c>
      <c r="MJ18" s="755">
        <f t="shared" si="70"/>
        <v>0</v>
      </c>
      <c r="MK18" s="749">
        <f>'Проверочная  таблица'!MA18-MU18</f>
        <v>0</v>
      </c>
      <c r="ML18" s="671">
        <f>'Проверочная  таблица'!MB18-MV18</f>
        <v>0</v>
      </c>
      <c r="MM18" s="768">
        <f>'Проверочная  таблица'!MD18-MW18</f>
        <v>0</v>
      </c>
      <c r="MN18" s="756">
        <f>'Проверочная  таблица'!MC18-MX18</f>
        <v>0</v>
      </c>
      <c r="MO18" s="779">
        <f t="shared" si="71"/>
        <v>0</v>
      </c>
      <c r="MP18" s="511">
        <f>[1]Субсидия_факт!OK16</f>
        <v>0</v>
      </c>
      <c r="MQ18" s="890">
        <f>[1]Субсидия_факт!OQ16</f>
        <v>0</v>
      </c>
      <c r="MR18" s="890">
        <f>[1]Субсидия_факт!PC16</f>
        <v>0</v>
      </c>
      <c r="MS18" s="511">
        <f>[1]Субсидия_факт!OW16</f>
        <v>0</v>
      </c>
      <c r="MT18" s="755">
        <f t="shared" si="72"/>
        <v>0</v>
      </c>
      <c r="MU18" s="749">
        <f t="shared" si="167"/>
        <v>0</v>
      </c>
      <c r="MV18" s="671">
        <f t="shared" si="168"/>
        <v>0</v>
      </c>
      <c r="MW18" s="768">
        <f t="shared" si="169"/>
        <v>0</v>
      </c>
      <c r="MX18" s="756">
        <f t="shared" si="73"/>
        <v>0</v>
      </c>
      <c r="MY18" s="524">
        <f>SUM('Проверочная  таблица'!MZ18:MZ18)</f>
        <v>0</v>
      </c>
      <c r="MZ18" s="333"/>
      <c r="NA18" s="524">
        <f>SUM('Проверочная  таблица'!NB18:NB18)</f>
        <v>0</v>
      </c>
      <c r="NB18" s="462"/>
      <c r="NC18" s="524">
        <f t="shared" si="74"/>
        <v>1210556.56</v>
      </c>
      <c r="ND18" s="452">
        <f>[1]Субсидия_факт!IU16</f>
        <v>338955.84</v>
      </c>
      <c r="NE18" s="686">
        <f>[1]Субсидия_факт!IY16</f>
        <v>871600.72</v>
      </c>
      <c r="NF18" s="517">
        <f t="shared" si="75"/>
        <v>1009556.56</v>
      </c>
      <c r="NG18" s="529">
        <v>282675.84000000003</v>
      </c>
      <c r="NH18" s="774">
        <f>1009556.56-NG18</f>
        <v>726880.72</v>
      </c>
      <c r="NI18" s="570">
        <f t="shared" si="76"/>
        <v>1210556.56</v>
      </c>
      <c r="NJ18" s="1000">
        <f>'Проверочная  таблица'!ND18-NP18</f>
        <v>338955.84</v>
      </c>
      <c r="NK18" s="678">
        <f>'Проверочная  таблица'!NE18-NQ18</f>
        <v>871600.72</v>
      </c>
      <c r="NL18" s="570">
        <f t="shared" si="77"/>
        <v>1009556.56</v>
      </c>
      <c r="NM18" s="476">
        <f>'Проверочная  таблица'!NG18-NS18</f>
        <v>282675.84000000003</v>
      </c>
      <c r="NN18" s="678">
        <f>'Проверочная  таблица'!NH18-NT18</f>
        <v>726880.72</v>
      </c>
      <c r="NO18" s="633">
        <f t="shared" si="78"/>
        <v>0</v>
      </c>
      <c r="NP18" s="452">
        <f>[1]Субсидия_факт!IW16</f>
        <v>0</v>
      </c>
      <c r="NQ18" s="686">
        <f>[1]Субсидия_факт!JA16</f>
        <v>0</v>
      </c>
      <c r="NR18" s="570">
        <f t="shared" si="79"/>
        <v>0</v>
      </c>
      <c r="NS18" s="476"/>
      <c r="NT18" s="710"/>
      <c r="NU18" s="517">
        <f t="shared" si="170"/>
        <v>0</v>
      </c>
      <c r="NV18" s="332">
        <f>[1]Субсидия_факт!FA16</f>
        <v>0</v>
      </c>
      <c r="NW18" s="786">
        <f>[1]Субсидия_факт!FC16</f>
        <v>0</v>
      </c>
      <c r="NX18" s="517">
        <f t="shared" si="171"/>
        <v>0</v>
      </c>
      <c r="NY18" s="462"/>
      <c r="NZ18" s="682"/>
      <c r="OA18" s="517">
        <f t="shared" si="172"/>
        <v>0</v>
      </c>
      <c r="OD18" s="517">
        <f t="shared" si="173"/>
        <v>0</v>
      </c>
      <c r="OG18" s="526">
        <f t="shared" si="174"/>
        <v>0</v>
      </c>
      <c r="OJ18" s="526">
        <f t="shared" si="175"/>
        <v>0</v>
      </c>
      <c r="OM18" s="526">
        <f t="shared" si="176"/>
        <v>0</v>
      </c>
      <c r="OP18" s="526">
        <f t="shared" si="177"/>
        <v>0</v>
      </c>
      <c r="OS18" s="524">
        <f t="shared" si="80"/>
        <v>0</v>
      </c>
      <c r="OT18" s="498">
        <f>[1]Субсидия_факт!JO16</f>
        <v>0</v>
      </c>
      <c r="OU18" s="786">
        <f>[1]Субсидия_факт!JQ16</f>
        <v>0</v>
      </c>
      <c r="OV18" s="332">
        <f>[1]Субсидия_факт!KS16</f>
        <v>0</v>
      </c>
      <c r="OW18" s="686">
        <f>[1]Субсидия_факт!KY16</f>
        <v>0</v>
      </c>
      <c r="OX18" s="498">
        <f>[1]Субсидия_факт!KG16</f>
        <v>0</v>
      </c>
      <c r="OY18" s="786">
        <f>[1]Субсидия_факт!KM16</f>
        <v>0</v>
      </c>
      <c r="OZ18" s="517">
        <f t="shared" si="81"/>
        <v>0</v>
      </c>
      <c r="PA18" s="462"/>
      <c r="PB18" s="682"/>
      <c r="PC18" s="333"/>
      <c r="PD18" s="704"/>
      <c r="PE18" s="462"/>
      <c r="PF18" s="794"/>
      <c r="PG18" s="524">
        <f t="shared" si="82"/>
        <v>0</v>
      </c>
      <c r="PH18" s="498">
        <f>[1]Субсидия_факт!JC16</f>
        <v>0</v>
      </c>
      <c r="PI18" s="931">
        <f>[1]Субсидия_факт!JG16</f>
        <v>0</v>
      </c>
      <c r="PJ18" s="476">
        <f>[1]Субсидия_факт!JS16</f>
        <v>0</v>
      </c>
      <c r="PK18" s="678">
        <f>[1]Субсидия_факт!JW16</f>
        <v>0</v>
      </c>
      <c r="PL18" s="498">
        <f>[1]Субсидия_факт!KU16</f>
        <v>0</v>
      </c>
      <c r="PM18" s="791">
        <f>[1]Субсидия_факт!LA16</f>
        <v>0</v>
      </c>
      <c r="PN18" s="498">
        <f>[1]Субсидия_факт!KI16</f>
        <v>0</v>
      </c>
      <c r="PO18" s="686">
        <f>[1]Субсидия_факт!KO16</f>
        <v>0</v>
      </c>
      <c r="PP18" s="517">
        <f t="shared" si="83"/>
        <v>0</v>
      </c>
      <c r="PQ18" s="529"/>
      <c r="PR18" s="771"/>
      <c r="PS18" s="462"/>
      <c r="PT18" s="682"/>
      <c r="PU18" s="529"/>
      <c r="PV18" s="774"/>
      <c r="PW18" s="529"/>
      <c r="PX18" s="682"/>
      <c r="PY18" s="570">
        <f t="shared" si="84"/>
        <v>0</v>
      </c>
      <c r="PZ18" s="452">
        <f t="shared" si="85"/>
        <v>0</v>
      </c>
      <c r="QA18" s="686">
        <f t="shared" si="86"/>
        <v>0</v>
      </c>
      <c r="QB18" s="430">
        <f t="shared" si="87"/>
        <v>0</v>
      </c>
      <c r="QC18" s="686">
        <f t="shared" si="88"/>
        <v>0</v>
      </c>
      <c r="QD18" s="332">
        <f t="shared" si="89"/>
        <v>0</v>
      </c>
      <c r="QE18" s="686">
        <f t="shared" si="90"/>
        <v>0</v>
      </c>
      <c r="QF18" s="430">
        <f t="shared" si="91"/>
        <v>0</v>
      </c>
      <c r="QG18" s="686">
        <f t="shared" si="92"/>
        <v>0</v>
      </c>
      <c r="QH18" s="633">
        <f t="shared" si="93"/>
        <v>0</v>
      </c>
      <c r="QI18" s="452">
        <f t="shared" si="94"/>
        <v>0</v>
      </c>
      <c r="QJ18" s="686">
        <f t="shared" si="95"/>
        <v>0</v>
      </c>
      <c r="QK18" s="430">
        <f t="shared" si="96"/>
        <v>0</v>
      </c>
      <c r="QL18" s="686">
        <f t="shared" si="97"/>
        <v>0</v>
      </c>
      <c r="QM18" s="332">
        <f t="shared" si="98"/>
        <v>0</v>
      </c>
      <c r="QN18" s="786">
        <f t="shared" si="99"/>
        <v>0</v>
      </c>
      <c r="QO18" s="332">
        <f t="shared" si="100"/>
        <v>0</v>
      </c>
      <c r="QP18" s="686">
        <f t="shared" si="101"/>
        <v>0</v>
      </c>
      <c r="QQ18" s="570">
        <f t="shared" si="102"/>
        <v>0</v>
      </c>
      <c r="QR18" s="430">
        <f>[1]Субсидия_факт!JE16</f>
        <v>0</v>
      </c>
      <c r="QS18" s="931">
        <f>[1]Субсидия_факт!JI16</f>
        <v>0</v>
      </c>
      <c r="QT18" s="607">
        <f>[1]Субсидия_факт!JU16</f>
        <v>0</v>
      </c>
      <c r="QU18" s="678">
        <f>[1]Субсидия_факт!JY16</f>
        <v>0</v>
      </c>
      <c r="QV18" s="332">
        <f>[1]Субсидия_факт!KW16</f>
        <v>0</v>
      </c>
      <c r="QW18" s="791">
        <f>[1]Субсидия_факт!LC16</f>
        <v>0</v>
      </c>
      <c r="QX18" s="332">
        <f>[1]Субсидия_факт!KK16</f>
        <v>0</v>
      </c>
      <c r="QY18" s="686">
        <f>[1]Субсидия_факт!KQ16</f>
        <v>0</v>
      </c>
      <c r="QZ18" s="570">
        <f t="shared" si="103"/>
        <v>0</v>
      </c>
      <c r="RA18" s="530"/>
      <c r="RB18" s="678"/>
      <c r="RC18" s="462"/>
      <c r="RD18" s="682"/>
      <c r="RE18" s="530"/>
      <c r="RF18" s="794"/>
      <c r="RG18" s="529"/>
      <c r="RH18" s="765"/>
      <c r="RI18" s="487">
        <f>[1]Субсидия_факт!PW16</f>
        <v>35137791.25</v>
      </c>
      <c r="RJ18" s="1240">
        <f t="shared" si="178"/>
        <v>35137791.25</v>
      </c>
      <c r="RK18" s="522">
        <f>'Прочая  субсидия_МР  и  ГО'!B14</f>
        <v>18301106.049999997</v>
      </c>
      <c r="RL18" s="517">
        <f>'Прочая  субсидия_МР  и  ГО'!C14</f>
        <v>16390787.300000001</v>
      </c>
      <c r="RM18" s="522">
        <f>'Прочая  субсидия_БП'!B14</f>
        <v>59265120.780000001</v>
      </c>
      <c r="RN18" s="524">
        <f>'Прочая  субсидия_БП'!C14</f>
        <v>57814955.869999997</v>
      </c>
      <c r="RO18" s="565">
        <f>'Прочая  субсидия_БП'!D14</f>
        <v>59265120.780000001</v>
      </c>
      <c r="RP18" s="564">
        <f>'Прочая  субсидия_БП'!E14</f>
        <v>57814955.869999997</v>
      </c>
      <c r="RQ18" s="571">
        <f>'Прочая  субсидия_БП'!F14</f>
        <v>0</v>
      </c>
      <c r="RR18" s="564">
        <f>'Прочая  субсидия_БП'!G14</f>
        <v>0</v>
      </c>
      <c r="RS18" s="487">
        <f t="shared" si="104"/>
        <v>324207020</v>
      </c>
      <c r="RT18" s="452">
        <f>'Проверочная  таблица'!SR18+'Проверочная  таблица'!RY18+'Проверочная  таблица'!SA18+'Проверочная  таблица'!SC18</f>
        <v>316599257</v>
      </c>
      <c r="RU18" s="332">
        <f>'Проверочная  таблица'!SS18+'Проверочная  таблица'!SE18+'Проверочная  таблица'!SK18+'Проверочная  таблица'!SG18+'Проверочная  таблица'!SO18+'Проверочная  таблица'!SI18+SM18</f>
        <v>7607763</v>
      </c>
      <c r="RV18" s="517">
        <f t="shared" si="105"/>
        <v>265340088.99000001</v>
      </c>
      <c r="RW18" s="430">
        <f>'Проверочная  таблица'!SU18+'Проверочная  таблица'!RZ18+'Проверочная  таблица'!SB18+'Проверочная  таблица'!SD18</f>
        <v>261133580</v>
      </c>
      <c r="RX18" s="332">
        <f>'Проверочная  таблица'!SV18+'Проверочная  таблица'!SF18+'Проверочная  таблица'!SL18+'Проверочная  таблица'!SH18+'Проверочная  таблица'!SP18+'Проверочная  таблица'!SJ18+SN18</f>
        <v>4206508.99</v>
      </c>
      <c r="RY18" s="559">
        <f>'Субвенция  на  полномочия'!B14</f>
        <v>300214257</v>
      </c>
      <c r="RZ18" s="454">
        <f>'Субвенция  на  полномочия'!C14</f>
        <v>248381580</v>
      </c>
      <c r="SA18" s="732">
        <f>[1]Субвенция_факт!P15*1000</f>
        <v>10261000</v>
      </c>
      <c r="SB18" s="1389">
        <v>7300000</v>
      </c>
      <c r="SC18" s="732">
        <f>[1]Субвенция_факт!K15*1000</f>
        <v>4832000</v>
      </c>
      <c r="SD18" s="1389">
        <v>4160000</v>
      </c>
      <c r="SE18" s="732">
        <f>[1]Субвенция_факт!AD15*1000</f>
        <v>1622300</v>
      </c>
      <c r="SF18" s="735">
        <v>1212300</v>
      </c>
      <c r="SG18" s="732">
        <f>[1]Субвенция_факт!AE15*1000</f>
        <v>5000</v>
      </c>
      <c r="SH18" s="735"/>
      <c r="SI18" s="732">
        <f>[1]Субвенция_факт!E15*1000</f>
        <v>2506545</v>
      </c>
      <c r="SJ18" s="735"/>
      <c r="SK18" s="732">
        <f>[1]Субвенция_факт!F15*1000</f>
        <v>1223918</v>
      </c>
      <c r="SL18" s="866">
        <v>1191816</v>
      </c>
      <c r="SM18" s="163">
        <f>[1]Субвенция_факт!G15*1000</f>
        <v>0</v>
      </c>
      <c r="SN18" s="867"/>
      <c r="SO18" s="732">
        <f>[1]Субвенция_факт!H15*1000</f>
        <v>0</v>
      </c>
      <c r="SP18" s="735"/>
      <c r="SQ18" s="524">
        <f t="shared" si="106"/>
        <v>3542000</v>
      </c>
      <c r="SR18" s="865">
        <f>[1]Субвенция_факт!AC15*1000</f>
        <v>1292000</v>
      </c>
      <c r="SS18" s="1040">
        <f>[1]Субвенция_факт!AB15*1000</f>
        <v>2250000</v>
      </c>
      <c r="ST18" s="517">
        <f t="shared" si="107"/>
        <v>3094392.99</v>
      </c>
      <c r="SU18" s="1503">
        <v>1292000</v>
      </c>
      <c r="SV18" s="1506">
        <v>1802392.99</v>
      </c>
      <c r="SW18" s="271">
        <f>'Проверочная  таблица'!VC18+'Проверочная  таблица'!UY18+'Проверочная  таблица'!TQ18+'Проверочная  таблица'!TU18+SY18+'Проверочная  таблица'!US18+UC18+UI18</f>
        <v>0</v>
      </c>
      <c r="SX18" s="163">
        <f>'Проверочная  таблица'!VE18+'Проверочная  таблица'!VA18+'Проверочная  таблица'!TS18+'Проверочная  таблица'!TW18+TH18+'Проверочная  таблица'!UV18+UF18+UL18</f>
        <v>0</v>
      </c>
      <c r="SY18" s="1129">
        <f t="shared" si="108"/>
        <v>0</v>
      </c>
      <c r="SZ18" s="1114">
        <f>'[1]Иные межбюджетные трансферты'!O16</f>
        <v>0</v>
      </c>
      <c r="TA18" s="1111">
        <f>'[1]Иные межбюджетные трансферты'!Q16</f>
        <v>0</v>
      </c>
      <c r="TB18" s="879">
        <f>'[1]Иные межбюджетные трансферты'!I16</f>
        <v>0</v>
      </c>
      <c r="TC18" s="1111">
        <f>'[1]Иные межбюджетные трансферты'!K16</f>
        <v>0</v>
      </c>
      <c r="TD18" s="879">
        <f>'[1]Иные межбюджетные трансферты'!S16</f>
        <v>0</v>
      </c>
      <c r="TE18" s="958">
        <f>'[1]Иные межбюджетные трансферты'!U16</f>
        <v>0</v>
      </c>
      <c r="TF18" s="1236">
        <f>'[1]Иные межбюджетные трансферты'!M16</f>
        <v>0</v>
      </c>
      <c r="TG18" s="1231">
        <f>'[1]Иные межбюджетные трансферты'!W16</f>
        <v>0</v>
      </c>
      <c r="TH18" s="991">
        <f t="shared" si="109"/>
        <v>0</v>
      </c>
      <c r="TI18" s="984"/>
      <c r="TJ18" s="982"/>
      <c r="TK18" s="879"/>
      <c r="TL18" s="958"/>
      <c r="TM18" s="879"/>
      <c r="TN18" s="958"/>
      <c r="TO18" s="984"/>
      <c r="TP18" s="1269"/>
      <c r="TQ18" s="973">
        <f t="shared" si="179"/>
        <v>0</v>
      </c>
      <c r="TR18" s="1458">
        <f>'[1]Иные межбюджетные трансферты'!Y16</f>
        <v>0</v>
      </c>
      <c r="TS18" s="973">
        <f t="shared" si="179"/>
        <v>0</v>
      </c>
      <c r="TT18" s="958"/>
      <c r="TU18" s="973">
        <f t="shared" ref="TU18" si="194">TV18</f>
        <v>0</v>
      </c>
      <c r="TV18" s="958">
        <f>'[1]Иные межбюджетные трансферты'!AA16</f>
        <v>0</v>
      </c>
      <c r="TW18" s="973">
        <f t="shared" si="110"/>
        <v>0</v>
      </c>
      <c r="TX18" s="1111"/>
      <c r="TY18" s="976">
        <f t="shared" si="111"/>
        <v>0</v>
      </c>
      <c r="TZ18" s="970">
        <f t="shared" si="112"/>
        <v>0</v>
      </c>
      <c r="UA18" s="1266">
        <f t="shared" si="181"/>
        <v>0</v>
      </c>
      <c r="UB18" s="976">
        <f t="shared" si="182"/>
        <v>0</v>
      </c>
      <c r="UC18" s="973">
        <f t="shared" si="113"/>
        <v>0</v>
      </c>
      <c r="UD18" s="1272">
        <f>'[1]Иные межбюджетные трансферты'!AE16</f>
        <v>0</v>
      </c>
      <c r="UE18" s="1145">
        <f>'[1]Иные межбюджетные трансферты'!AK16</f>
        <v>0</v>
      </c>
      <c r="UF18" s="973">
        <f t="shared" si="114"/>
        <v>0</v>
      </c>
      <c r="UG18" s="958"/>
      <c r="UH18" s="958"/>
      <c r="UI18" s="973">
        <f t="shared" si="115"/>
        <v>0</v>
      </c>
      <c r="UJ18" s="1272">
        <f>'[1]Иные межбюджетные трансферты'!AG16</f>
        <v>0</v>
      </c>
      <c r="UK18" s="1145">
        <f>'[1]Иные межбюджетные трансферты'!AM16</f>
        <v>0</v>
      </c>
      <c r="UL18" s="973">
        <f t="shared" si="116"/>
        <v>0</v>
      </c>
      <c r="UM18" s="958"/>
      <c r="UN18" s="1111"/>
      <c r="UO18" s="976">
        <f t="shared" si="183"/>
        <v>0</v>
      </c>
      <c r="UP18" s="970">
        <f t="shared" si="184"/>
        <v>0</v>
      </c>
      <c r="UQ18" s="970">
        <f t="shared" si="185"/>
        <v>0</v>
      </c>
      <c r="UR18" s="1462">
        <f t="shared" si="186"/>
        <v>0</v>
      </c>
      <c r="US18" s="1263">
        <f t="shared" si="117"/>
        <v>0</v>
      </c>
      <c r="UT18" s="1040">
        <f>'[1]Иные межбюджетные трансферты'!E16</f>
        <v>0</v>
      </c>
      <c r="UU18" s="1126">
        <f>'[1]Иные межбюджетные трансферты'!G16</f>
        <v>0</v>
      </c>
      <c r="UV18" s="733">
        <f t="shared" si="118"/>
        <v>0</v>
      </c>
      <c r="UW18" s="1040"/>
      <c r="UX18" s="1126"/>
      <c r="UY18" s="880">
        <f t="shared" si="119"/>
        <v>0</v>
      </c>
      <c r="UZ18" s="958"/>
      <c r="VA18" s="1039">
        <f t="shared" si="120"/>
        <v>0</v>
      </c>
      <c r="VB18" s="890"/>
      <c r="VC18" s="510">
        <f t="shared" si="121"/>
        <v>0</v>
      </c>
      <c r="VD18" s="874">
        <f>'[1]Иные межбюджетные трансферты'!AS16</f>
        <v>0</v>
      </c>
      <c r="VE18" s="510">
        <f t="shared" si="122"/>
        <v>0</v>
      </c>
      <c r="VF18" s="513"/>
      <c r="VG18" s="886">
        <f t="shared" si="123"/>
        <v>0</v>
      </c>
      <c r="VH18" s="511">
        <f>'Проверочная  таблица'!VD18-VL18</f>
        <v>0</v>
      </c>
      <c r="VI18" s="886">
        <f t="shared" si="124"/>
        <v>0</v>
      </c>
      <c r="VJ18" s="511">
        <f>'Проверочная  таблица'!VF18-VN18</f>
        <v>0</v>
      </c>
      <c r="VK18" s="886">
        <f t="shared" si="125"/>
        <v>0</v>
      </c>
      <c r="VL18" s="874">
        <f>'[1]Иные межбюджетные трансферты'!AU16</f>
        <v>0</v>
      </c>
      <c r="VM18" s="1038">
        <f t="shared" si="126"/>
        <v>0</v>
      </c>
      <c r="VN18" s="513"/>
      <c r="VO18" s="517">
        <f>VQ18+'Проверочная  таблица'!VY18+VU18+'Проверочная  таблица'!WC18+VW18+'Проверочная  таблица'!WE18</f>
        <v>-26083000</v>
      </c>
      <c r="VP18" s="517">
        <f>VR18+'Проверочная  таблица'!VZ18+VV18+'Проверочная  таблица'!WD18+VX18+'Проверочная  таблица'!WF18</f>
        <v>-16743000</v>
      </c>
      <c r="VQ18" s="531"/>
      <c r="VR18" s="531"/>
      <c r="VS18" s="531">
        <v>800000</v>
      </c>
      <c r="VT18" s="531">
        <v>800000</v>
      </c>
      <c r="VU18" s="528">
        <f t="shared" si="127"/>
        <v>800000</v>
      </c>
      <c r="VV18" s="526">
        <f t="shared" si="128"/>
        <v>800000</v>
      </c>
      <c r="VW18" s="532"/>
      <c r="VX18" s="521"/>
      <c r="VY18" s="531">
        <v>-25693000</v>
      </c>
      <c r="VZ18" s="531">
        <v>-16443000</v>
      </c>
      <c r="WA18" s="531">
        <f>-90000-600000-500000</f>
        <v>-1190000</v>
      </c>
      <c r="WB18" s="531">
        <f>-600000-500000</f>
        <v>-1100000</v>
      </c>
      <c r="WC18" s="528">
        <f t="shared" si="129"/>
        <v>-1190000</v>
      </c>
      <c r="WD18" s="526">
        <f t="shared" si="130"/>
        <v>-1100000</v>
      </c>
      <c r="WE18" s="521"/>
      <c r="WF18" s="521"/>
      <c r="WG18" s="1356">
        <f>'Проверочная  таблица'!VY18+'Проверочная  таблица'!WA18</f>
        <v>-26883000</v>
      </c>
      <c r="WH18" s="1356">
        <f>'Проверочная  таблица'!VZ18+'Проверочная  таблица'!WB18</f>
        <v>-17543000</v>
      </c>
      <c r="WI18" s="1481"/>
    </row>
    <row r="19" spans="1:607" s="329" customFormat="1" ht="25.5" customHeight="1" x14ac:dyDescent="0.3">
      <c r="A19" s="338" t="s">
        <v>95</v>
      </c>
      <c r="B19" s="524">
        <f>D19+AI19+'Проверочная  таблица'!RS19+'Проверочная  таблица'!SW19</f>
        <v>527074921.54999995</v>
      </c>
      <c r="C19" s="517">
        <f>E19+'Проверочная  таблица'!RV19+AJ19+'Проверочная  таблица'!SX19</f>
        <v>439392163.60000002</v>
      </c>
      <c r="D19" s="522">
        <f t="shared" si="0"/>
        <v>106627615</v>
      </c>
      <c r="E19" s="524">
        <f t="shared" si="1"/>
        <v>80519904</v>
      </c>
      <c r="F19" s="1062">
        <f>'[1]Дотация  из  ОБ_факт'!I15+'[1]Дотация  из  ОБ_факт'!Q15</f>
        <v>39350100</v>
      </c>
      <c r="G19" s="1366">
        <v>29512575</v>
      </c>
      <c r="H19" s="563">
        <f>'[1]Дотация  из  ОБ_факт'!K15</f>
        <v>37265600</v>
      </c>
      <c r="I19" s="1366">
        <v>27949200</v>
      </c>
      <c r="J19" s="564">
        <f t="shared" si="2"/>
        <v>32616000</v>
      </c>
      <c r="K19" s="571">
        <f t="shared" si="3"/>
        <v>24462000</v>
      </c>
      <c r="L19" s="883">
        <f>'[1]Дотация  из  ОБ_факт'!O15</f>
        <v>4649600</v>
      </c>
      <c r="M19" s="1364">
        <v>3487200</v>
      </c>
      <c r="N19" s="563">
        <f>'[1]Дотация  из  ОБ_факт'!U15</f>
        <v>476914.99999999994</v>
      </c>
      <c r="O19" s="1366">
        <v>156879</v>
      </c>
      <c r="P19" s="784">
        <f>'[1]Дотация  из  ОБ_факт'!W15</f>
        <v>26535000</v>
      </c>
      <c r="Q19" s="1366">
        <v>19901250</v>
      </c>
      <c r="R19" s="571">
        <f t="shared" si="4"/>
        <v>19532900</v>
      </c>
      <c r="S19" s="564">
        <f t="shared" si="5"/>
        <v>14649675</v>
      </c>
      <c r="T19" s="1059">
        <f>'[1]Дотация  из  ОБ_факт'!AA15</f>
        <v>7002100</v>
      </c>
      <c r="U19" s="1366">
        <v>5251575</v>
      </c>
      <c r="V19" s="784">
        <f>'[1]Дотация  из  ОБ_факт'!AE15+'[1]Дотация  из  ОБ_факт'!AG15+'[1]Дотация  из  ОБ_факт'!AK15</f>
        <v>0</v>
      </c>
      <c r="W19" s="163">
        <f t="shared" si="6"/>
        <v>0</v>
      </c>
      <c r="X19" s="567"/>
      <c r="Y19" s="566"/>
      <c r="Z19" s="567"/>
      <c r="AA19" s="563">
        <f>'[1]Дотация  из  ОБ_факт'!AC15+'[1]Дотация  из  ОБ_факт'!AI15</f>
        <v>3000000</v>
      </c>
      <c r="AB19" s="165">
        <f t="shared" si="7"/>
        <v>3000000</v>
      </c>
      <c r="AC19" s="566"/>
      <c r="AD19" s="567">
        <v>3000000</v>
      </c>
      <c r="AE19" s="564">
        <f t="shared" si="8"/>
        <v>0</v>
      </c>
      <c r="AF19" s="571">
        <f t="shared" si="9"/>
        <v>0</v>
      </c>
      <c r="AG19" s="565">
        <f>'[1]Дотация  из  ОБ_факт'!AI15</f>
        <v>3000000</v>
      </c>
      <c r="AH19" s="1370">
        <f t="shared" si="131"/>
        <v>3000000</v>
      </c>
      <c r="AI19" s="559">
        <f>'Проверочная  таблица'!KI19+NU19+OA19+'Проверочная  таблица'!RK19+'Проверочная  таблица'!RM19+DE19+DG19+DM19+DO19+'Проверочная  таблица'!MY19+'Проверочная  таблица'!NC19+CG19+CQ19+'Проверочная  таблица'!HE19+'Проверочная  таблица'!HW19+'Проверочная  таблица'!ES19+'Проверочная  таблица'!JY19+DU19+'Проверочная  таблица'!GA19+'Проверочная  таблица'!GG19+'Проверочная  таблица'!LG19+'Проверочная  таблица'!LU19+FU19+'Проверочная  таблица'!KU19+RI19+OS19+PG19+EK19+AK19+AW19+FO19+FE19+GY19+EY19</f>
        <v>143856731.54999998</v>
      </c>
      <c r="AJ19" s="487">
        <f>'Проверочная  таблица'!KO19+NX19+OD19+'Проверочная  таблица'!RL19+'Проверочная  таблица'!RN19+DF19+DH19+DN19+DP19+'Проверочная  таблица'!NA19+'Проверочная  таблица'!NF19+CL19+CV19+'Проверочная  таблица'!HN19+'Проверочная  таблица'!IF19+'Проверочная  таблица'!EV19+'Проверочная  таблица'!KD19+EC19+'Проверочная  таблица'!GD19+'Проверочная  таблица'!GJ19+'Проверочная  таблица'!LN19+'Проверочная  таблица'!LZ19+FX19+'Проверочная  таблица'!KY19+FR19+RJ19+PP19+OZ19+EM19+AQ19+BC19+FJ19+HB19+FB19</f>
        <v>101309602.35000001</v>
      </c>
      <c r="AK19" s="487">
        <f t="shared" si="10"/>
        <v>0</v>
      </c>
      <c r="AL19" s="332">
        <f>[1]Субсидия_факт!CO17</f>
        <v>0</v>
      </c>
      <c r="AM19" s="523">
        <f>[1]Субсидия_факт!FK17</f>
        <v>0</v>
      </c>
      <c r="AN19" s="498">
        <f>[1]Субсидия_факт!FW17</f>
        <v>0</v>
      </c>
      <c r="AO19" s="523">
        <f>[1]Субсидия_факт!KA17</f>
        <v>0</v>
      </c>
      <c r="AP19" s="332">
        <f>[1]Субсидия_факт!LE17</f>
        <v>0</v>
      </c>
      <c r="AQ19" s="487">
        <f t="shared" si="11"/>
        <v>0</v>
      </c>
      <c r="AR19" s="462"/>
      <c r="AS19" s="462"/>
      <c r="AT19" s="462"/>
      <c r="AU19" s="462"/>
      <c r="AV19" s="462"/>
      <c r="AW19" s="487">
        <f t="shared" si="132"/>
        <v>0</v>
      </c>
      <c r="AX19" s="452">
        <f>[1]Субсидия_факт!CQ17</f>
        <v>0</v>
      </c>
      <c r="AY19" s="332">
        <f>[1]Субсидия_факт!FO17</f>
        <v>0</v>
      </c>
      <c r="AZ19" s="476">
        <f>[1]Субсидия_факт!JK17</f>
        <v>0</v>
      </c>
      <c r="BA19" s="496">
        <f>[1]Субсидия_факт!KC17</f>
        <v>0</v>
      </c>
      <c r="BB19" s="498">
        <f>[1]Субсидия_факт!LG17</f>
        <v>0</v>
      </c>
      <c r="BC19" s="487">
        <f t="shared" si="133"/>
        <v>0</v>
      </c>
      <c r="BD19" s="529"/>
      <c r="BE19" s="529"/>
      <c r="BF19" s="333"/>
      <c r="BG19" s="530"/>
      <c r="BH19" s="529"/>
      <c r="BI19" s="657">
        <f t="shared" si="134"/>
        <v>0</v>
      </c>
      <c r="BJ19" s="1025">
        <f t="shared" si="12"/>
        <v>0</v>
      </c>
      <c r="BK19" s="452">
        <f t="shared" si="13"/>
        <v>0</v>
      </c>
      <c r="BL19" s="452">
        <f t="shared" si="14"/>
        <v>0</v>
      </c>
      <c r="BM19" s="332">
        <f t="shared" si="15"/>
        <v>0</v>
      </c>
      <c r="BN19" s="488">
        <f t="shared" si="16"/>
        <v>0</v>
      </c>
      <c r="BO19" s="657">
        <f t="shared" si="135"/>
        <v>0</v>
      </c>
      <c r="BP19" s="607">
        <f t="shared" si="17"/>
        <v>0</v>
      </c>
      <c r="BQ19" s="496">
        <f t="shared" si="18"/>
        <v>0</v>
      </c>
      <c r="BR19" s="332">
        <f t="shared" si="19"/>
        <v>0</v>
      </c>
      <c r="BS19" s="430">
        <f t="shared" si="20"/>
        <v>0</v>
      </c>
      <c r="BT19" s="332">
        <f t="shared" si="21"/>
        <v>0</v>
      </c>
      <c r="BU19" s="657">
        <f t="shared" si="136"/>
        <v>0</v>
      </c>
      <c r="BV19" s="452">
        <f>[1]Субсидия_факт!CS17</f>
        <v>0</v>
      </c>
      <c r="BW19" s="332">
        <f>[1]Субсидия_факт!FQ17</f>
        <v>0</v>
      </c>
      <c r="BX19" s="476">
        <f>[1]Субсидия_факт!JM17</f>
        <v>0</v>
      </c>
      <c r="BY19" s="430">
        <f>[1]Субсидия_факт!KE17</f>
        <v>0</v>
      </c>
      <c r="BZ19" s="332">
        <f>[1]Субсидия_факт!LI17</f>
        <v>0</v>
      </c>
      <c r="CA19" s="659">
        <f t="shared" si="137"/>
        <v>0</v>
      </c>
      <c r="CB19" s="782"/>
      <c r="CC19" s="529"/>
      <c r="CD19" s="462"/>
      <c r="CE19" s="529"/>
      <c r="CF19" s="529"/>
      <c r="CG19" s="517">
        <f t="shared" si="22"/>
        <v>35094641.850000001</v>
      </c>
      <c r="CH19" s="430">
        <f>[1]Субсидия_факт!LM17</f>
        <v>2715691.85</v>
      </c>
      <c r="CI19" s="452">
        <f>[1]Субсидия_факт!LS17</f>
        <v>32378950</v>
      </c>
      <c r="CJ19" s="332">
        <f>[1]Субсидия_факт!ME17</f>
        <v>0</v>
      </c>
      <c r="CK19" s="511">
        <f>[1]Субсидия_факт!MK17</f>
        <v>0</v>
      </c>
      <c r="CL19" s="517">
        <f t="shared" si="23"/>
        <v>19433499.900000002</v>
      </c>
      <c r="CM19" s="529">
        <v>1022782.69</v>
      </c>
      <c r="CN19" s="529">
        <v>18410717.210000001</v>
      </c>
      <c r="CO19" s="529"/>
      <c r="CP19" s="610"/>
      <c r="CQ19" s="517">
        <f t="shared" si="24"/>
        <v>0</v>
      </c>
      <c r="CR19" s="452">
        <f>[1]Субсидия_факт!LO17</f>
        <v>0</v>
      </c>
      <c r="CS19" s="452">
        <f>[1]Субсидия_факт!LU17</f>
        <v>0</v>
      </c>
      <c r="CT19" s="332">
        <f>[1]Субсидия_факт!MG17</f>
        <v>0</v>
      </c>
      <c r="CU19" s="511">
        <f>[1]Субсидия_факт!MM17</f>
        <v>0</v>
      </c>
      <c r="CV19" s="517">
        <f t="shared" si="25"/>
        <v>0</v>
      </c>
      <c r="CW19" s="529"/>
      <c r="CX19" s="530"/>
      <c r="CY19" s="782"/>
      <c r="CZ19" s="719"/>
      <c r="DA19" s="528">
        <f t="shared" si="138"/>
        <v>0</v>
      </c>
      <c r="DB19" s="526">
        <f t="shared" si="139"/>
        <v>0</v>
      </c>
      <c r="DC19" s="525">
        <f t="shared" si="140"/>
        <v>0</v>
      </c>
      <c r="DD19" s="528">
        <f t="shared" si="141"/>
        <v>0</v>
      </c>
      <c r="DE19" s="524">
        <f>[1]Субсидия_факт!GC17</f>
        <v>0</v>
      </c>
      <c r="DF19" s="330"/>
      <c r="DG19" s="522">
        <f>[1]Субсидия_факт!GE17</f>
        <v>0</v>
      </c>
      <c r="DH19" s="330"/>
      <c r="DI19" s="757">
        <f t="shared" si="142"/>
        <v>0</v>
      </c>
      <c r="DJ19" s="570">
        <f t="shared" si="143"/>
        <v>0</v>
      </c>
      <c r="DK19" s="757">
        <f>[1]Субсидия_факт!GG17</f>
        <v>0</v>
      </c>
      <c r="DL19" s="1387">
        <f t="shared" si="144"/>
        <v>0</v>
      </c>
      <c r="DM19" s="516">
        <f>[1]Субсидия_факт!GI17</f>
        <v>0</v>
      </c>
      <c r="DN19" s="604"/>
      <c r="DO19" s="517">
        <f>[1]Субсидия_факт!GK17</f>
        <v>0</v>
      </c>
      <c r="DP19" s="604"/>
      <c r="DQ19" s="526">
        <f t="shared" si="28"/>
        <v>0</v>
      </c>
      <c r="DR19" s="526">
        <f t="shared" si="29"/>
        <v>0</v>
      </c>
      <c r="DS19" s="653">
        <f t="shared" si="30"/>
        <v>0</v>
      </c>
      <c r="DT19" s="1385">
        <f t="shared" si="145"/>
        <v>0</v>
      </c>
      <c r="DU19" s="517">
        <f t="shared" si="31"/>
        <v>0</v>
      </c>
      <c r="DV19" s="523">
        <f>[1]Субсидия_факт!E17</f>
        <v>0</v>
      </c>
      <c r="DW19" s="1025">
        <f>[1]Субсидия_факт!G17</f>
        <v>0</v>
      </c>
      <c r="DX19" s="678">
        <f>[1]Субсидия_факт!I17</f>
        <v>0</v>
      </c>
      <c r="DY19" s="636">
        <f>[1]Субсидия_факт!K17</f>
        <v>0</v>
      </c>
      <c r="DZ19" s="786">
        <f>[1]Субсидия_факт!M17</f>
        <v>0</v>
      </c>
      <c r="EA19" s="498">
        <f>[1]Субсидия_факт!O17</f>
        <v>0</v>
      </c>
      <c r="EB19" s="636">
        <f>[1]Субсидия_факт!Q17</f>
        <v>0</v>
      </c>
      <c r="EC19" s="516">
        <f t="shared" si="32"/>
        <v>0</v>
      </c>
      <c r="ED19" s="530"/>
      <c r="EE19" s="529"/>
      <c r="EF19" s="682"/>
      <c r="EG19" s="529"/>
      <c r="EH19" s="682"/>
      <c r="EI19" s="530"/>
      <c r="EJ19" s="607">
        <f t="shared" si="146"/>
        <v>0</v>
      </c>
      <c r="EK19" s="516">
        <f t="shared" si="147"/>
        <v>0</v>
      </c>
      <c r="EL19" s="1223">
        <f>[1]Субсидия_факт!S17</f>
        <v>0</v>
      </c>
      <c r="EM19" s="524">
        <f t="shared" si="147"/>
        <v>0</v>
      </c>
      <c r="EN19" s="607">
        <f t="shared" si="148"/>
        <v>0</v>
      </c>
      <c r="EO19" s="570">
        <f t="shared" si="149"/>
        <v>0</v>
      </c>
      <c r="EP19" s="633">
        <f t="shared" si="150"/>
        <v>0</v>
      </c>
      <c r="EQ19" s="633">
        <f>[1]Субсидия_факт!U17</f>
        <v>0</v>
      </c>
      <c r="ER19" s="1245">
        <f t="shared" si="151"/>
        <v>0</v>
      </c>
      <c r="ES19" s="487">
        <f t="shared" si="33"/>
        <v>0</v>
      </c>
      <c r="ET19" s="511">
        <f>[1]Субсидия_факт!AU17</f>
        <v>0</v>
      </c>
      <c r="EU19" s="890">
        <f>[1]Субсидия_факт!AW17</f>
        <v>0</v>
      </c>
      <c r="EV19" s="454">
        <f t="shared" si="34"/>
        <v>0</v>
      </c>
      <c r="EW19" s="777"/>
      <c r="EX19" s="1095"/>
      <c r="EY19" s="487">
        <f t="shared" si="35"/>
        <v>0</v>
      </c>
      <c r="EZ19" s="511">
        <f>[1]Субсидия_факт!FY17</f>
        <v>0</v>
      </c>
      <c r="FA19" s="890">
        <f>[1]Субсидия_факт!GA17</f>
        <v>0</v>
      </c>
      <c r="FB19" s="454">
        <f t="shared" si="36"/>
        <v>0</v>
      </c>
      <c r="FC19" s="777"/>
      <c r="FD19" s="1095"/>
      <c r="FE19" s="517">
        <f t="shared" si="152"/>
        <v>0</v>
      </c>
      <c r="FF19" s="430">
        <f>[1]Субсидия_факт!W17</f>
        <v>0</v>
      </c>
      <c r="FG19" s="931">
        <f>[1]Субсидия_факт!Y17</f>
        <v>0</v>
      </c>
      <c r="FH19" s="452">
        <f>[1]Субсидия_факт!AA17</f>
        <v>0</v>
      </c>
      <c r="FI19" s="686">
        <f>[1]Субсидия_факт!AC17</f>
        <v>0</v>
      </c>
      <c r="FJ19" s="516">
        <f t="shared" si="153"/>
        <v>0</v>
      </c>
      <c r="FK19" s="462"/>
      <c r="FL19" s="682"/>
      <c r="FM19" s="462"/>
      <c r="FN19" s="682"/>
      <c r="FO19" s="487">
        <f t="shared" si="37"/>
        <v>0</v>
      </c>
      <c r="FP19" s="511">
        <f>[1]Субсидия_факт!AY17</f>
        <v>0</v>
      </c>
      <c r="FQ19" s="890">
        <f>[1]Субсидия_факт!BA17</f>
        <v>0</v>
      </c>
      <c r="FR19" s="454">
        <f t="shared" si="38"/>
        <v>0</v>
      </c>
      <c r="FS19" s="777"/>
      <c r="FT19" s="673"/>
      <c r="FU19" s="524">
        <f t="shared" si="154"/>
        <v>0</v>
      </c>
      <c r="FV19" s="498">
        <f>[1]Субсидия_факт!EE17</f>
        <v>0</v>
      </c>
      <c r="FW19" s="686">
        <f>[1]Субсидия_факт!EG17</f>
        <v>0</v>
      </c>
      <c r="FX19" s="517">
        <f t="shared" si="155"/>
        <v>0</v>
      </c>
      <c r="FY19" s="529"/>
      <c r="FZ19" s="704"/>
      <c r="GA19" s="559">
        <f t="shared" si="41"/>
        <v>150000</v>
      </c>
      <c r="GB19" s="511">
        <f>[1]Субсидия_факт!DS17</f>
        <v>42000.21</v>
      </c>
      <c r="GC19" s="890">
        <f>[1]Субсидия_факт!DY17</f>
        <v>107999.79</v>
      </c>
      <c r="GD19" s="454">
        <f t="shared" si="42"/>
        <v>150000</v>
      </c>
      <c r="GE19" s="1290">
        <f t="shared" si="193"/>
        <v>42000.21</v>
      </c>
      <c r="GF19" s="671">
        <f t="shared" si="193"/>
        <v>107999.79</v>
      </c>
      <c r="GG19" s="454">
        <f t="shared" si="43"/>
        <v>1350000</v>
      </c>
      <c r="GH19" s="511">
        <f>[1]Субсидия_факт!DU17</f>
        <v>378001.86000000004</v>
      </c>
      <c r="GI19" s="751">
        <f>[1]Субсидия_факт!EA17</f>
        <v>971998.14</v>
      </c>
      <c r="GJ19" s="454">
        <f t="shared" si="44"/>
        <v>1350000</v>
      </c>
      <c r="GK19" s="756">
        <f>GH19</f>
        <v>378001.86000000004</v>
      </c>
      <c r="GL19" s="810">
        <f>GI19</f>
        <v>971998.14</v>
      </c>
      <c r="GM19" s="659">
        <f t="shared" si="45"/>
        <v>0</v>
      </c>
      <c r="GN19" s="749">
        <f>'Проверочная  таблица'!GH19-'Проверочная  таблица'!GT19</f>
        <v>0</v>
      </c>
      <c r="GO19" s="671">
        <f>'Проверочная  таблица'!GI19-'Проверочная  таблица'!GU19</f>
        <v>0</v>
      </c>
      <c r="GP19" s="653">
        <f t="shared" si="46"/>
        <v>0</v>
      </c>
      <c r="GQ19" s="756">
        <f>'Проверочная  таблица'!GK19-'Проверочная  таблица'!GW19</f>
        <v>0</v>
      </c>
      <c r="GR19" s="768">
        <f>'Проверочная  таблица'!GL19-'Проверочная  таблица'!GX19</f>
        <v>0</v>
      </c>
      <c r="GS19" s="659">
        <f t="shared" si="47"/>
        <v>1350000</v>
      </c>
      <c r="GT19" s="511">
        <f>[1]Субсидия_факт!DW17</f>
        <v>378001.86000000004</v>
      </c>
      <c r="GU19" s="890">
        <f>[1]Субсидия_факт!EC17</f>
        <v>971998.14</v>
      </c>
      <c r="GV19" s="659">
        <f t="shared" si="48"/>
        <v>1350000</v>
      </c>
      <c r="GW19" s="511">
        <v>378001.86</v>
      </c>
      <c r="GX19" s="751">
        <v>971998.14000000013</v>
      </c>
      <c r="GY19" s="454">
        <f t="shared" si="49"/>
        <v>0</v>
      </c>
      <c r="GZ19" s="756">
        <f>[1]Субсидия_факт!AE17</f>
        <v>0</v>
      </c>
      <c r="HA19" s="671">
        <f>[1]Субсидия_факт!AG17</f>
        <v>0</v>
      </c>
      <c r="HB19" s="454">
        <f t="shared" si="50"/>
        <v>0</v>
      </c>
      <c r="HC19" s="756"/>
      <c r="HD19" s="671"/>
      <c r="HE19" s="747">
        <f t="shared" si="51"/>
        <v>0</v>
      </c>
      <c r="HF19" s="756">
        <f>[1]Субсидия_факт!BW17</f>
        <v>0</v>
      </c>
      <c r="HG19" s="671">
        <f>[1]Субсидия_факт!CC17</f>
        <v>0</v>
      </c>
      <c r="HH19" s="511">
        <f>[1]Субсидия_факт!CU17</f>
        <v>0</v>
      </c>
      <c r="HI19" s="890">
        <f>[1]Субсидия_факт!DA17</f>
        <v>0</v>
      </c>
      <c r="HJ19" s="511">
        <f>[1]Субсидия_факт!DG17</f>
        <v>0</v>
      </c>
      <c r="HK19" s="890">
        <f>[1]Субсидия_факт!DM17</f>
        <v>0</v>
      </c>
      <c r="HL19" s="511">
        <f>[1]Субсидия_факт!EI17</f>
        <v>0</v>
      </c>
      <c r="HM19" s="751">
        <f>[1]Субсидия_факт!EO17</f>
        <v>0</v>
      </c>
      <c r="HN19" s="747">
        <f t="shared" si="52"/>
        <v>0</v>
      </c>
      <c r="HO19" s="610"/>
      <c r="HP19" s="673"/>
      <c r="HQ19" s="756">
        <f t="shared" si="156"/>
        <v>0</v>
      </c>
      <c r="HR19" s="768">
        <f t="shared" si="188"/>
        <v>0</v>
      </c>
      <c r="HS19" s="756">
        <f t="shared" si="157"/>
        <v>0</v>
      </c>
      <c r="HT19" s="1480">
        <f t="shared" si="158"/>
        <v>0</v>
      </c>
      <c r="HU19" s="610"/>
      <c r="HV19" s="673"/>
      <c r="HW19" s="747">
        <f t="shared" si="53"/>
        <v>80736.710000000006</v>
      </c>
      <c r="HX19" s="756">
        <f>[1]Субсидия_факт!BY17</f>
        <v>0</v>
      </c>
      <c r="HY19" s="671">
        <f>[1]Субсидия_факт!CE17</f>
        <v>0</v>
      </c>
      <c r="HZ19" s="511">
        <f>[1]Субсидия_факт!CW17</f>
        <v>72463.760000000009</v>
      </c>
      <c r="IA19" s="751">
        <f>[1]Субсидия_факт!DC17</f>
        <v>8272.9499999999989</v>
      </c>
      <c r="IB19" s="511">
        <f>[1]Субсидия_факт!DI17</f>
        <v>0</v>
      </c>
      <c r="IC19" s="890">
        <f>[1]Субсидия_факт!DO17</f>
        <v>0</v>
      </c>
      <c r="ID19" s="511">
        <f>[1]Субсидия_факт!EK17</f>
        <v>0</v>
      </c>
      <c r="IE19" s="751">
        <f>[1]Субсидия_факт!EQ17</f>
        <v>0</v>
      </c>
      <c r="IF19" s="747">
        <f t="shared" si="54"/>
        <v>80736.710000000006</v>
      </c>
      <c r="IG19" s="610"/>
      <c r="IH19" s="673"/>
      <c r="II19" s="749">
        <f t="shared" si="159"/>
        <v>72463.760000000009</v>
      </c>
      <c r="IJ19" s="671">
        <f t="shared" si="160"/>
        <v>8272.9499999999989</v>
      </c>
      <c r="IK19" s="777"/>
      <c r="IL19" s="673"/>
      <c r="IM19" s="610"/>
      <c r="IN19" s="673"/>
      <c r="IO19" s="750">
        <f t="shared" si="55"/>
        <v>0</v>
      </c>
      <c r="IP19" s="756">
        <f>'Проверочная  таблица'!HX19-JH19</f>
        <v>0</v>
      </c>
      <c r="IQ19" s="671">
        <f>'Проверочная  таблица'!HY19-JI19</f>
        <v>0</v>
      </c>
      <c r="IR19" s="756">
        <f>'Проверочная  таблица'!HZ19-JJ19</f>
        <v>0</v>
      </c>
      <c r="IS19" s="671">
        <f>'Проверочная  таблица'!IA19-JK19</f>
        <v>0</v>
      </c>
      <c r="IT19" s="749">
        <f>'Проверочная  таблица'!IB19-JL19</f>
        <v>0</v>
      </c>
      <c r="IU19" s="671">
        <f>'Проверочная  таблица'!IC19-JM19</f>
        <v>0</v>
      </c>
      <c r="IV19" s="756">
        <f>'Проверочная  таблица'!ID19-JN19</f>
        <v>0</v>
      </c>
      <c r="IW19" s="671">
        <f>'Проверочная  таблица'!IE19-JO19</f>
        <v>0</v>
      </c>
      <c r="IX19" s="750">
        <f t="shared" si="56"/>
        <v>0</v>
      </c>
      <c r="IY19" s="756">
        <f>'Проверочная  таблица'!IG19-JQ19</f>
        <v>0</v>
      </c>
      <c r="IZ19" s="810">
        <f>'Проверочная  таблица'!IH19-JR19</f>
        <v>0</v>
      </c>
      <c r="JA19" s="756">
        <f>'Проверочная  таблица'!II19-JS19</f>
        <v>0</v>
      </c>
      <c r="JB19" s="768">
        <f>'Проверочная  таблица'!IJ19-JT19</f>
        <v>0</v>
      </c>
      <c r="JC19" s="756">
        <f>'Проверочная  таблица'!IK19-JU19</f>
        <v>0</v>
      </c>
      <c r="JD19" s="768">
        <f>'Проверочная  таблица'!IL19-JV19</f>
        <v>0</v>
      </c>
      <c r="JE19" s="756">
        <f>'Проверочная  таблица'!IM19-JW19</f>
        <v>0</v>
      </c>
      <c r="JF19" s="768">
        <f>'Проверочная  таблица'!IN19-JX19</f>
        <v>0</v>
      </c>
      <c r="JG19" s="659">
        <f t="shared" si="57"/>
        <v>80736.710000000006</v>
      </c>
      <c r="JH19" s="756">
        <f>[1]Субсидия_факт!CA17</f>
        <v>0</v>
      </c>
      <c r="JI19" s="671">
        <f>[1]Субсидия_факт!CG17</f>
        <v>0</v>
      </c>
      <c r="JJ19" s="511">
        <f>[1]Субсидия_факт!CY17</f>
        <v>72463.760000000009</v>
      </c>
      <c r="JK19" s="751">
        <f>[1]Субсидия_факт!DE17</f>
        <v>8272.9499999999989</v>
      </c>
      <c r="JL19" s="511">
        <f>[1]Субсидия_факт!DK17</f>
        <v>0</v>
      </c>
      <c r="JM19" s="890">
        <f>[1]Субсидия_факт!DQ17</f>
        <v>0</v>
      </c>
      <c r="JN19" s="511">
        <f>[1]Субсидия_факт!EM17</f>
        <v>0</v>
      </c>
      <c r="JO19" s="751">
        <f>[1]Субсидия_факт!ES17</f>
        <v>0</v>
      </c>
      <c r="JP19" s="750">
        <f t="shared" si="58"/>
        <v>80736.710000000006</v>
      </c>
      <c r="JQ19" s="610"/>
      <c r="JR19" s="673"/>
      <c r="JS19" s="513">
        <f>JJ19</f>
        <v>72463.760000000009</v>
      </c>
      <c r="JT19" s="788">
        <f>JK19</f>
        <v>8272.9499999999989</v>
      </c>
      <c r="JU19" s="513"/>
      <c r="JV19" s="885"/>
      <c r="JW19" s="610"/>
      <c r="JX19" s="673"/>
      <c r="JY19" s="454">
        <f t="shared" si="161"/>
        <v>0</v>
      </c>
      <c r="JZ19" s="511">
        <f>[1]Субсидия_факт!BC17</f>
        <v>0</v>
      </c>
      <c r="KA19" s="890">
        <f>[1]Субсидия_факт!BE17</f>
        <v>0</v>
      </c>
      <c r="KB19" s="511">
        <f>[1]Субсидия_факт!BG17</f>
        <v>0</v>
      </c>
      <c r="KC19" s="890">
        <f>[1]Субсидия_факт!BI17</f>
        <v>0</v>
      </c>
      <c r="KD19" s="454">
        <f t="shared" si="162"/>
        <v>0</v>
      </c>
      <c r="KE19" s="610"/>
      <c r="KF19" s="673"/>
      <c r="KG19" s="610"/>
      <c r="KH19" s="673"/>
      <c r="KI19" s="524">
        <f t="shared" si="59"/>
        <v>173140.18</v>
      </c>
      <c r="KJ19" s="511">
        <f>[1]Субсидия_факт!HO17</f>
        <v>173140.18</v>
      </c>
      <c r="KK19" s="523">
        <f>[1]Субсидия_факт!HQ17</f>
        <v>0</v>
      </c>
      <c r="KL19" s="686">
        <f>[1]Субсидия_факт!HS17</f>
        <v>0</v>
      </c>
      <c r="KM19" s="636">
        <f>[1]Субсидия_факт!IC17</f>
        <v>0</v>
      </c>
      <c r="KN19" s="686">
        <f>[1]Субсидия_факт!IE17</f>
        <v>0</v>
      </c>
      <c r="KO19" s="487">
        <f t="shared" si="163"/>
        <v>173140.18</v>
      </c>
      <c r="KP19" s="756">
        <f t="shared" si="164"/>
        <v>173140.18</v>
      </c>
      <c r="KQ19" s="333"/>
      <c r="KR19" s="682"/>
      <c r="KS19" s="462"/>
      <c r="KT19" s="682"/>
      <c r="KU19" s="454">
        <f t="shared" si="60"/>
        <v>0</v>
      </c>
      <c r="KV19" s="513">
        <f>[1]Субсидия_факт!HY17</f>
        <v>0</v>
      </c>
      <c r="KW19" s="513">
        <f>[1]Субсидия_факт!HU17</f>
        <v>0</v>
      </c>
      <c r="KX19" s="751">
        <f>[1]Субсидия_факт!HW17</f>
        <v>0</v>
      </c>
      <c r="KY19" s="454">
        <f t="shared" si="61"/>
        <v>0</v>
      </c>
      <c r="KZ19" s="756">
        <f t="shared" si="165"/>
        <v>0</v>
      </c>
      <c r="LA19" s="610"/>
      <c r="LB19" s="673"/>
      <c r="LC19" s="886">
        <f t="shared" si="62"/>
        <v>0</v>
      </c>
      <c r="LD19" s="886">
        <f t="shared" si="63"/>
        <v>0</v>
      </c>
      <c r="LE19" s="657">
        <f t="shared" si="64"/>
        <v>0</v>
      </c>
      <c r="LF19" s="1038">
        <f t="shared" si="65"/>
        <v>0</v>
      </c>
      <c r="LG19" s="753">
        <f t="shared" si="166"/>
        <v>0</v>
      </c>
      <c r="LH19" s="511">
        <f>[1]Субсидия_факт!OG17</f>
        <v>0</v>
      </c>
      <c r="LI19" s="890">
        <f>[1]Субсидия_факт!OM17</f>
        <v>0</v>
      </c>
      <c r="LJ19" s="511">
        <f>[1]Субсидия_факт!OS17</f>
        <v>0</v>
      </c>
      <c r="LK19" s="890">
        <f>[1]Субсидия_факт!OY17</f>
        <v>0</v>
      </c>
      <c r="LL19" s="756">
        <f>[1]Субсидия_факт!PE17</f>
        <v>0</v>
      </c>
      <c r="LM19" s="768">
        <f>[1]Субсидия_факт!PI17</f>
        <v>0</v>
      </c>
      <c r="LN19" s="753">
        <f t="shared" si="66"/>
        <v>0</v>
      </c>
      <c r="LO19" s="777"/>
      <c r="LP19" s="673"/>
      <c r="LQ19" s="610"/>
      <c r="LR19" s="776"/>
      <c r="LS19" s="610"/>
      <c r="LT19" s="776"/>
      <c r="LU19" s="753">
        <f t="shared" si="67"/>
        <v>12500000</v>
      </c>
      <c r="LV19" s="511">
        <f>[1]Субсидия_факт!OI17</f>
        <v>225000</v>
      </c>
      <c r="LW19" s="890">
        <f>[1]Субсидия_факт!OO17</f>
        <v>4275000</v>
      </c>
      <c r="LX19" s="513">
        <f>[1]Субсидия_факт!OU17</f>
        <v>400000</v>
      </c>
      <c r="LY19" s="751">
        <f>[1]Субсидия_факт!PA17</f>
        <v>7600000</v>
      </c>
      <c r="LZ19" s="754">
        <f t="shared" si="68"/>
        <v>0</v>
      </c>
      <c r="MA19" s="610"/>
      <c r="MB19" s="776"/>
      <c r="MC19" s="610"/>
      <c r="MD19" s="673"/>
      <c r="ME19" s="652">
        <f t="shared" si="69"/>
        <v>0</v>
      </c>
      <c r="MF19" s="642">
        <f>'Проверочная  таблица'!LV19-MP19</f>
        <v>0</v>
      </c>
      <c r="MG19" s="678">
        <f>'Проверочная  таблица'!LW19-MQ19</f>
        <v>0</v>
      </c>
      <c r="MH19" s="765">
        <f>'Проверочная  таблица'!LY19-MR19</f>
        <v>0</v>
      </c>
      <c r="MI19" s="607">
        <f>'Проверочная  таблица'!LX19-MS19</f>
        <v>0</v>
      </c>
      <c r="MJ19" s="755">
        <f t="shared" si="70"/>
        <v>0</v>
      </c>
      <c r="MK19" s="749">
        <f>'Проверочная  таблица'!MA19-MU19</f>
        <v>0</v>
      </c>
      <c r="ML19" s="671">
        <f>'Проверочная  таблица'!MB19-MV19</f>
        <v>0</v>
      </c>
      <c r="MM19" s="768">
        <f>'Проверочная  таблица'!MD19-MW19</f>
        <v>0</v>
      </c>
      <c r="MN19" s="756">
        <f>'Проверочная  таблица'!MC19-MX19</f>
        <v>0</v>
      </c>
      <c r="MO19" s="779">
        <f t="shared" si="71"/>
        <v>12500000</v>
      </c>
      <c r="MP19" s="511">
        <f>[1]Субсидия_факт!OK17</f>
        <v>225000</v>
      </c>
      <c r="MQ19" s="890">
        <f>[1]Субсидия_факт!OQ17</f>
        <v>4275000</v>
      </c>
      <c r="MR19" s="890">
        <f>[1]Субсидия_факт!PC17</f>
        <v>7600000</v>
      </c>
      <c r="MS19" s="511">
        <f>[1]Субсидия_факт!OW17</f>
        <v>400000</v>
      </c>
      <c r="MT19" s="755">
        <f t="shared" si="72"/>
        <v>0</v>
      </c>
      <c r="MU19" s="749">
        <f t="shared" si="167"/>
        <v>0</v>
      </c>
      <c r="MV19" s="671">
        <f t="shared" si="168"/>
        <v>0</v>
      </c>
      <c r="MW19" s="768">
        <f t="shared" si="169"/>
        <v>0</v>
      </c>
      <c r="MX19" s="756">
        <f t="shared" si="73"/>
        <v>0</v>
      </c>
      <c r="MY19" s="524">
        <f>SUM('Проверочная  таблица'!MZ19:MZ19)</f>
        <v>0</v>
      </c>
      <c r="MZ19" s="333"/>
      <c r="NA19" s="524">
        <f>SUM('Проверочная  таблица'!NB19:NB19)</f>
        <v>0</v>
      </c>
      <c r="NB19" s="462"/>
      <c r="NC19" s="524">
        <f t="shared" si="74"/>
        <v>0</v>
      </c>
      <c r="ND19" s="452">
        <f>[1]Субсидия_факт!IU17</f>
        <v>0</v>
      </c>
      <c r="NE19" s="686">
        <f>[1]Субсидия_факт!IY17</f>
        <v>0</v>
      </c>
      <c r="NF19" s="517">
        <f t="shared" si="75"/>
        <v>0</v>
      </c>
      <c r="NG19" s="529"/>
      <c r="NH19" s="774"/>
      <c r="NI19" s="570">
        <f t="shared" si="76"/>
        <v>0</v>
      </c>
      <c r="NJ19" s="1000">
        <f>'Проверочная  таблица'!ND19-NP19</f>
        <v>0</v>
      </c>
      <c r="NK19" s="678">
        <f>'Проверочная  таблица'!NE19-NQ19</f>
        <v>0</v>
      </c>
      <c r="NL19" s="570">
        <f t="shared" si="77"/>
        <v>0</v>
      </c>
      <c r="NM19" s="476">
        <f>'Проверочная  таблица'!NG19-NS19</f>
        <v>0</v>
      </c>
      <c r="NN19" s="678">
        <f>'Проверочная  таблица'!NH19-NT19</f>
        <v>0</v>
      </c>
      <c r="NO19" s="633">
        <f t="shared" si="78"/>
        <v>0</v>
      </c>
      <c r="NP19" s="452">
        <f>[1]Субсидия_факт!IW17</f>
        <v>0</v>
      </c>
      <c r="NQ19" s="686">
        <f>[1]Субсидия_факт!JA17</f>
        <v>0</v>
      </c>
      <c r="NR19" s="570">
        <f t="shared" si="79"/>
        <v>0</v>
      </c>
      <c r="NS19" s="476"/>
      <c r="NT19" s="710"/>
      <c r="NU19" s="517">
        <f t="shared" si="170"/>
        <v>0</v>
      </c>
      <c r="NV19" s="332">
        <f>[1]Субсидия_факт!FA17</f>
        <v>0</v>
      </c>
      <c r="NW19" s="786">
        <f>[1]Субсидия_факт!FC17</f>
        <v>0</v>
      </c>
      <c r="NX19" s="517">
        <f t="shared" si="171"/>
        <v>0</v>
      </c>
      <c r="NY19" s="462"/>
      <c r="NZ19" s="682"/>
      <c r="OA19" s="517">
        <f t="shared" si="172"/>
        <v>0</v>
      </c>
      <c r="OD19" s="517">
        <f t="shared" si="173"/>
        <v>0</v>
      </c>
      <c r="OG19" s="526">
        <f t="shared" si="174"/>
        <v>0</v>
      </c>
      <c r="OJ19" s="526">
        <f t="shared" si="175"/>
        <v>0</v>
      </c>
      <c r="OM19" s="526">
        <f t="shared" si="176"/>
        <v>0</v>
      </c>
      <c r="OP19" s="526">
        <f t="shared" si="177"/>
        <v>0</v>
      </c>
      <c r="OS19" s="524">
        <f t="shared" si="80"/>
        <v>1601810.7</v>
      </c>
      <c r="OT19" s="498">
        <f>[1]Субсидия_факт!JO17</f>
        <v>448507</v>
      </c>
      <c r="OU19" s="786">
        <f>[1]Субсидия_факт!JQ17</f>
        <v>1153303.7</v>
      </c>
      <c r="OV19" s="332">
        <f>[1]Субсидия_факт!KS17</f>
        <v>0</v>
      </c>
      <c r="OW19" s="686">
        <f>[1]Субсидия_факт!KY17</f>
        <v>0</v>
      </c>
      <c r="OX19" s="498">
        <f>[1]Субсидия_факт!KG17</f>
        <v>0</v>
      </c>
      <c r="OY19" s="786">
        <f>[1]Субсидия_факт!KM17</f>
        <v>0</v>
      </c>
      <c r="OZ19" s="517">
        <f t="shared" si="81"/>
        <v>0</v>
      </c>
      <c r="PA19" s="462"/>
      <c r="PB19" s="682"/>
      <c r="PC19" s="333"/>
      <c r="PD19" s="704"/>
      <c r="PE19" s="462"/>
      <c r="PF19" s="794"/>
      <c r="PG19" s="524">
        <f t="shared" si="82"/>
        <v>0</v>
      </c>
      <c r="PH19" s="498">
        <f>[1]Субсидия_факт!JC17</f>
        <v>0</v>
      </c>
      <c r="PI19" s="931">
        <f>[1]Субсидия_факт!JG17</f>
        <v>0</v>
      </c>
      <c r="PJ19" s="476">
        <f>[1]Субсидия_факт!JS17</f>
        <v>0</v>
      </c>
      <c r="PK19" s="678">
        <f>[1]Субсидия_факт!JW17</f>
        <v>0</v>
      </c>
      <c r="PL19" s="498">
        <f>[1]Субсидия_факт!KU17</f>
        <v>0</v>
      </c>
      <c r="PM19" s="791">
        <f>[1]Субсидия_факт!LA17</f>
        <v>0</v>
      </c>
      <c r="PN19" s="498">
        <f>[1]Субсидия_факт!KI17</f>
        <v>0</v>
      </c>
      <c r="PO19" s="686">
        <f>[1]Субсидия_факт!KO17</f>
        <v>0</v>
      </c>
      <c r="PP19" s="517">
        <f t="shared" si="83"/>
        <v>0</v>
      </c>
      <c r="PQ19" s="529"/>
      <c r="PR19" s="771"/>
      <c r="PS19" s="462"/>
      <c r="PT19" s="682"/>
      <c r="PU19" s="529"/>
      <c r="PV19" s="774"/>
      <c r="PW19" s="529"/>
      <c r="PX19" s="682"/>
      <c r="PY19" s="570">
        <f t="shared" si="84"/>
        <v>0</v>
      </c>
      <c r="PZ19" s="452">
        <f t="shared" si="85"/>
        <v>0</v>
      </c>
      <c r="QA19" s="686">
        <f t="shared" si="86"/>
        <v>0</v>
      </c>
      <c r="QB19" s="430">
        <f t="shared" si="87"/>
        <v>0</v>
      </c>
      <c r="QC19" s="686">
        <f t="shared" si="88"/>
        <v>0</v>
      </c>
      <c r="QD19" s="332">
        <f t="shared" si="89"/>
        <v>0</v>
      </c>
      <c r="QE19" s="686">
        <f t="shared" si="90"/>
        <v>0</v>
      </c>
      <c r="QF19" s="430">
        <f t="shared" si="91"/>
        <v>0</v>
      </c>
      <c r="QG19" s="686">
        <f t="shared" si="92"/>
        <v>0</v>
      </c>
      <c r="QH19" s="633">
        <f t="shared" si="93"/>
        <v>0</v>
      </c>
      <c r="QI19" s="452">
        <f t="shared" si="94"/>
        <v>0</v>
      </c>
      <c r="QJ19" s="686">
        <f t="shared" si="95"/>
        <v>0</v>
      </c>
      <c r="QK19" s="430">
        <f t="shared" si="96"/>
        <v>0</v>
      </c>
      <c r="QL19" s="686">
        <f t="shared" si="97"/>
        <v>0</v>
      </c>
      <c r="QM19" s="332">
        <f t="shared" si="98"/>
        <v>0</v>
      </c>
      <c r="QN19" s="786">
        <f t="shared" si="99"/>
        <v>0</v>
      </c>
      <c r="QO19" s="332">
        <f t="shared" si="100"/>
        <v>0</v>
      </c>
      <c r="QP19" s="686">
        <f t="shared" si="101"/>
        <v>0</v>
      </c>
      <c r="QQ19" s="570">
        <f t="shared" si="102"/>
        <v>0</v>
      </c>
      <c r="QR19" s="430">
        <f>[1]Субсидия_факт!JE17</f>
        <v>0</v>
      </c>
      <c r="QS19" s="931">
        <f>[1]Субсидия_факт!JI17</f>
        <v>0</v>
      </c>
      <c r="QT19" s="607">
        <f>[1]Субсидия_факт!JU17</f>
        <v>0</v>
      </c>
      <c r="QU19" s="678">
        <f>[1]Субсидия_факт!JY17</f>
        <v>0</v>
      </c>
      <c r="QV19" s="332">
        <f>[1]Субсидия_факт!KW17</f>
        <v>0</v>
      </c>
      <c r="QW19" s="791">
        <f>[1]Субсидия_факт!LC17</f>
        <v>0</v>
      </c>
      <c r="QX19" s="332">
        <f>[1]Субсидия_факт!KK17</f>
        <v>0</v>
      </c>
      <c r="QY19" s="686">
        <f>[1]Субсидия_факт!KQ17</f>
        <v>0</v>
      </c>
      <c r="QZ19" s="570">
        <f t="shared" si="103"/>
        <v>0</v>
      </c>
      <c r="RA19" s="530"/>
      <c r="RB19" s="678"/>
      <c r="RC19" s="462"/>
      <c r="RD19" s="682"/>
      <c r="RE19" s="530"/>
      <c r="RF19" s="794"/>
      <c r="RG19" s="529"/>
      <c r="RH19" s="765"/>
      <c r="RI19" s="487">
        <f>[1]Субсидия_факт!PW17</f>
        <v>32810998.330000002</v>
      </c>
      <c r="RJ19" s="1240">
        <f t="shared" si="178"/>
        <v>32810998.330000002</v>
      </c>
      <c r="RK19" s="522">
        <f>'Прочая  субсидия_МР  и  ГО'!B15</f>
        <v>19144752.689999998</v>
      </c>
      <c r="RL19" s="517">
        <f>'Прочая  субсидия_МР  и  ГО'!C15</f>
        <v>18493236.689999998</v>
      </c>
      <c r="RM19" s="522">
        <f>'Прочая  субсидия_БП'!B15</f>
        <v>40950651.090000004</v>
      </c>
      <c r="RN19" s="524">
        <f>'Прочая  субсидия_БП'!C15</f>
        <v>28817990.540000003</v>
      </c>
      <c r="RO19" s="565">
        <f>'Прочая  субсидия_БП'!D15</f>
        <v>21410813.549999997</v>
      </c>
      <c r="RP19" s="564">
        <f>'Прочая  субсидия_БП'!E15</f>
        <v>11244848.550000001</v>
      </c>
      <c r="RQ19" s="571">
        <f>'Прочая  субсидия_БП'!F15</f>
        <v>19539837.539999995</v>
      </c>
      <c r="RR19" s="564">
        <f>'Прочая  субсидия_БП'!G15</f>
        <v>17573141.989999998</v>
      </c>
      <c r="RS19" s="487">
        <f t="shared" si="104"/>
        <v>276590575</v>
      </c>
      <c r="RT19" s="452">
        <f>'Проверочная  таблица'!SR19+'Проверочная  таблица'!RY19+'Проверочная  таблица'!SA19+'Проверочная  таблица'!SC19</f>
        <v>271163741</v>
      </c>
      <c r="RU19" s="332">
        <f>'Проверочная  таблица'!SS19+'Проверочная  таблица'!SE19+'Проверочная  таблица'!SK19+'Проверочная  таблица'!SG19+'Проверочная  таблица'!SO19+'Проверочная  таблица'!SI19+SM19</f>
        <v>5426834</v>
      </c>
      <c r="RV19" s="517">
        <f t="shared" si="105"/>
        <v>257562657.25</v>
      </c>
      <c r="RW19" s="430">
        <f>'Проверочная  таблица'!SU19+'Проверочная  таблица'!RZ19+'Проверочная  таблица'!SB19+'Проверочная  таблица'!SD19</f>
        <v>252986596</v>
      </c>
      <c r="RX19" s="332">
        <f>'Проверочная  таблица'!SV19+'Проверочная  таблица'!SF19+'Проверочная  таблица'!SL19+'Проверочная  таблица'!SH19+'Проверочная  таблица'!SP19+'Проверочная  таблица'!SJ19+SN19</f>
        <v>4576061.25</v>
      </c>
      <c r="RY19" s="559">
        <f>'Субвенция  на  полномочия'!B15</f>
        <v>254417741</v>
      </c>
      <c r="RZ19" s="454">
        <f>'Субвенция  на  полномочия'!C15</f>
        <v>240346596</v>
      </c>
      <c r="SA19" s="732">
        <f>[1]Субвенция_факт!P16*1000</f>
        <v>10470000</v>
      </c>
      <c r="SB19" s="1389">
        <v>7390000</v>
      </c>
      <c r="SC19" s="732">
        <f>[1]Субвенция_факт!K16*1000</f>
        <v>5084000</v>
      </c>
      <c r="SD19" s="1389">
        <v>4058000</v>
      </c>
      <c r="SE19" s="732">
        <f>[1]Субвенция_факт!AD16*1000</f>
        <v>1675000</v>
      </c>
      <c r="SF19" s="735">
        <v>1111045.3500000001</v>
      </c>
      <c r="SG19" s="732">
        <f>[1]Субвенция_факт!AE16*1000</f>
        <v>3200</v>
      </c>
      <c r="SH19" s="735">
        <v>3200</v>
      </c>
      <c r="SI19" s="732">
        <f>[1]Субвенция_факт!E16*1000</f>
        <v>1198634.0000000002</v>
      </c>
      <c r="SJ19" s="735">
        <v>1191816</v>
      </c>
      <c r="SK19" s="732">
        <f>[1]Субвенция_факт!F16*1000</f>
        <v>0</v>
      </c>
      <c r="SL19" s="866"/>
      <c r="SM19" s="163">
        <f>[1]Субвенция_факт!G16*1000</f>
        <v>0</v>
      </c>
      <c r="SN19" s="867"/>
      <c r="SO19" s="732">
        <f>[1]Субвенция_факт!H16*1000</f>
        <v>0</v>
      </c>
      <c r="SP19" s="735"/>
      <c r="SQ19" s="524">
        <f t="shared" si="106"/>
        <v>3742000</v>
      </c>
      <c r="SR19" s="865">
        <f>[1]Субвенция_факт!AC16*1000</f>
        <v>1192000</v>
      </c>
      <c r="SS19" s="1040">
        <f>[1]Субвенция_факт!AB16*1000</f>
        <v>2550000</v>
      </c>
      <c r="ST19" s="517">
        <f t="shared" si="107"/>
        <v>3461999.9</v>
      </c>
      <c r="SU19" s="1503">
        <v>1192000</v>
      </c>
      <c r="SV19" s="1506">
        <v>2269999.9</v>
      </c>
      <c r="SW19" s="271">
        <f>'Проверочная  таблица'!VC19+'Проверочная  таблица'!UY19+'Проверочная  таблица'!TQ19+'Проверочная  таблица'!TU19+SY19+'Проверочная  таблица'!US19+UC19+UI19</f>
        <v>0</v>
      </c>
      <c r="SX19" s="163">
        <f>'Проверочная  таблица'!VE19+'Проверочная  таблица'!VA19+'Проверочная  таблица'!TS19+'Проверочная  таблица'!TW19+TH19+'Проверочная  таблица'!UV19+UF19+UL19</f>
        <v>0</v>
      </c>
      <c r="SY19" s="1129">
        <f t="shared" si="108"/>
        <v>0</v>
      </c>
      <c r="SZ19" s="1114">
        <f>'[1]Иные межбюджетные трансферты'!O17</f>
        <v>0</v>
      </c>
      <c r="TA19" s="1111">
        <f>'[1]Иные межбюджетные трансферты'!Q17</f>
        <v>0</v>
      </c>
      <c r="TB19" s="879">
        <f>'[1]Иные межбюджетные трансферты'!I17</f>
        <v>0</v>
      </c>
      <c r="TC19" s="1111">
        <f>'[1]Иные межбюджетные трансферты'!K17</f>
        <v>0</v>
      </c>
      <c r="TD19" s="879">
        <f>'[1]Иные межбюджетные трансферты'!S17</f>
        <v>0</v>
      </c>
      <c r="TE19" s="958">
        <f>'[1]Иные межбюджетные трансферты'!U17</f>
        <v>0</v>
      </c>
      <c r="TF19" s="1236">
        <f>'[1]Иные межбюджетные трансферты'!M17</f>
        <v>0</v>
      </c>
      <c r="TG19" s="1231">
        <f>'[1]Иные межбюджетные трансферты'!W17</f>
        <v>0</v>
      </c>
      <c r="TH19" s="991">
        <f t="shared" si="109"/>
        <v>0</v>
      </c>
      <c r="TI19" s="984"/>
      <c r="TJ19" s="982"/>
      <c r="TK19" s="879"/>
      <c r="TL19" s="958"/>
      <c r="TM19" s="879"/>
      <c r="TN19" s="958"/>
      <c r="TO19" s="984"/>
      <c r="TP19" s="1269"/>
      <c r="TQ19" s="973">
        <f t="shared" si="179"/>
        <v>0</v>
      </c>
      <c r="TR19" s="1458">
        <f>'[1]Иные межбюджетные трансферты'!Y17</f>
        <v>0</v>
      </c>
      <c r="TS19" s="973">
        <f t="shared" si="179"/>
        <v>0</v>
      </c>
      <c r="TT19" s="958"/>
      <c r="TU19" s="973">
        <f t="shared" ref="TU19" si="195">TV19</f>
        <v>0</v>
      </c>
      <c r="TV19" s="958">
        <f>'[1]Иные межбюджетные трансферты'!AA17</f>
        <v>0</v>
      </c>
      <c r="TW19" s="973">
        <f t="shared" si="110"/>
        <v>0</v>
      </c>
      <c r="TX19" s="1111"/>
      <c r="TY19" s="976">
        <f t="shared" si="111"/>
        <v>0</v>
      </c>
      <c r="TZ19" s="970">
        <f t="shared" si="112"/>
        <v>0</v>
      </c>
      <c r="UA19" s="1266">
        <f t="shared" si="181"/>
        <v>0</v>
      </c>
      <c r="UB19" s="976">
        <f t="shared" si="182"/>
        <v>0</v>
      </c>
      <c r="UC19" s="973">
        <f t="shared" si="113"/>
        <v>0</v>
      </c>
      <c r="UD19" s="1272">
        <f>'[1]Иные межбюджетные трансферты'!AE17</f>
        <v>0</v>
      </c>
      <c r="UE19" s="1145">
        <f>'[1]Иные межбюджетные трансферты'!AK17</f>
        <v>0</v>
      </c>
      <c r="UF19" s="973">
        <f t="shared" si="114"/>
        <v>0</v>
      </c>
      <c r="UG19" s="958"/>
      <c r="UH19" s="958"/>
      <c r="UI19" s="973">
        <f t="shared" si="115"/>
        <v>0</v>
      </c>
      <c r="UJ19" s="1272">
        <f>'[1]Иные межбюджетные трансферты'!AG17</f>
        <v>0</v>
      </c>
      <c r="UK19" s="1145">
        <f>'[1]Иные межбюджетные трансферты'!AM17</f>
        <v>0</v>
      </c>
      <c r="UL19" s="973">
        <f t="shared" si="116"/>
        <v>0</v>
      </c>
      <c r="UM19" s="958"/>
      <c r="UN19" s="1111"/>
      <c r="UO19" s="976">
        <f t="shared" si="183"/>
        <v>0</v>
      </c>
      <c r="UP19" s="970">
        <f t="shared" si="184"/>
        <v>0</v>
      </c>
      <c r="UQ19" s="970">
        <f t="shared" si="185"/>
        <v>0</v>
      </c>
      <c r="UR19" s="1462">
        <f t="shared" si="186"/>
        <v>0</v>
      </c>
      <c r="US19" s="1263">
        <f t="shared" si="117"/>
        <v>0</v>
      </c>
      <c r="UT19" s="1040">
        <f>'[1]Иные межбюджетные трансферты'!E17</f>
        <v>0</v>
      </c>
      <c r="UU19" s="1126">
        <f>'[1]Иные межбюджетные трансферты'!G17</f>
        <v>0</v>
      </c>
      <c r="UV19" s="733">
        <f t="shared" si="118"/>
        <v>0</v>
      </c>
      <c r="UW19" s="1040"/>
      <c r="UX19" s="1126"/>
      <c r="UY19" s="880">
        <f t="shared" si="119"/>
        <v>0</v>
      </c>
      <c r="UZ19" s="958"/>
      <c r="VA19" s="1039">
        <f t="shared" si="120"/>
        <v>0</v>
      </c>
      <c r="VB19" s="890"/>
      <c r="VC19" s="510">
        <f t="shared" si="121"/>
        <v>0</v>
      </c>
      <c r="VD19" s="874">
        <f>'[1]Иные межбюджетные трансферты'!AS17</f>
        <v>0</v>
      </c>
      <c r="VE19" s="510">
        <f t="shared" si="122"/>
        <v>0</v>
      </c>
      <c r="VF19" s="513"/>
      <c r="VG19" s="886">
        <f t="shared" si="123"/>
        <v>0</v>
      </c>
      <c r="VH19" s="511">
        <f>'Проверочная  таблица'!VD19-VL19</f>
        <v>0</v>
      </c>
      <c r="VI19" s="886">
        <f t="shared" si="124"/>
        <v>0</v>
      </c>
      <c r="VJ19" s="511">
        <f>'Проверочная  таблица'!VF19-VN19</f>
        <v>0</v>
      </c>
      <c r="VK19" s="886">
        <f t="shared" si="125"/>
        <v>0</v>
      </c>
      <c r="VL19" s="874">
        <f>'[1]Иные межбюджетные трансферты'!AU17</f>
        <v>0</v>
      </c>
      <c r="VM19" s="1038">
        <f t="shared" si="126"/>
        <v>0</v>
      </c>
      <c r="VN19" s="513"/>
      <c r="VO19" s="517">
        <f>VQ19+'Проверочная  таблица'!VY19+VU19+'Проверочная  таблица'!WC19+VW19+'Проверочная  таблица'!WE19</f>
        <v>-10000000</v>
      </c>
      <c r="VP19" s="517">
        <f>VR19+'Проверочная  таблица'!VZ19+VV19+'Проверочная  таблица'!WD19+VX19+'Проверочная  таблица'!WF19</f>
        <v>0</v>
      </c>
      <c r="VQ19" s="531"/>
      <c r="VR19" s="531"/>
      <c r="VS19" s="531"/>
      <c r="VT19" s="531"/>
      <c r="VU19" s="528">
        <f t="shared" si="127"/>
        <v>0</v>
      </c>
      <c r="VV19" s="526">
        <f t="shared" si="128"/>
        <v>0</v>
      </c>
      <c r="VW19" s="532"/>
      <c r="VX19" s="521"/>
      <c r="VY19" s="531">
        <v>-10000000</v>
      </c>
      <c r="VZ19" s="531">
        <v>0</v>
      </c>
      <c r="WA19" s="531"/>
      <c r="WB19" s="531"/>
      <c r="WC19" s="528">
        <f t="shared" si="129"/>
        <v>0</v>
      </c>
      <c r="WD19" s="526">
        <f t="shared" si="130"/>
        <v>0</v>
      </c>
      <c r="WE19" s="521"/>
      <c r="WF19" s="521"/>
      <c r="WG19" s="1356">
        <f>'Проверочная  таблица'!VY19+'Проверочная  таблица'!WA19</f>
        <v>-10000000</v>
      </c>
      <c r="WH19" s="1356">
        <f>'Проверочная  таблица'!VZ19+'Проверочная  таблица'!WB19</f>
        <v>0</v>
      </c>
      <c r="WI19" s="1481"/>
    </row>
    <row r="20" spans="1:607" s="329" customFormat="1" ht="25.5" customHeight="1" x14ac:dyDescent="0.3">
      <c r="A20" s="339" t="s">
        <v>96</v>
      </c>
      <c r="B20" s="524">
        <f>D20+AI20+'Проверочная  таблица'!RS20+'Проверочная  таблица'!SW20</f>
        <v>467495559.15999997</v>
      </c>
      <c r="C20" s="517">
        <f>E20+'Проверочная  таблица'!RV20+AJ20+'Проверочная  таблица'!SX20</f>
        <v>381639687.42000002</v>
      </c>
      <c r="D20" s="522">
        <f t="shared" si="0"/>
        <v>136784379</v>
      </c>
      <c r="E20" s="524">
        <f t="shared" si="1"/>
        <v>119002688.62</v>
      </c>
      <c r="F20" s="1062">
        <f>'[1]Дотация  из  ОБ_факт'!I16+'[1]Дотация  из  ОБ_факт'!Q16</f>
        <v>51810000</v>
      </c>
      <c r="G20" s="1366">
        <v>46404725.329999998</v>
      </c>
      <c r="H20" s="563">
        <f>'[1]Дотация  из  ОБ_факт'!K16</f>
        <v>20561500</v>
      </c>
      <c r="I20" s="1366">
        <v>16737366.289999999</v>
      </c>
      <c r="J20" s="564">
        <f t="shared" si="2"/>
        <v>20561500</v>
      </c>
      <c r="K20" s="571">
        <f t="shared" si="3"/>
        <v>16737366.289999999</v>
      </c>
      <c r="L20" s="883">
        <f>'[1]Дотация  из  ОБ_факт'!O16</f>
        <v>0</v>
      </c>
      <c r="M20" s="745"/>
      <c r="N20" s="563">
        <f>'[1]Дотация  из  ОБ_факт'!U16</f>
        <v>40080879</v>
      </c>
      <c r="O20" s="1366">
        <v>34595220</v>
      </c>
      <c r="P20" s="784">
        <f>'[1]Дотация  из  ОБ_факт'!W16</f>
        <v>24332000</v>
      </c>
      <c r="Q20" s="1366">
        <v>21265377</v>
      </c>
      <c r="R20" s="571">
        <f t="shared" si="4"/>
        <v>24332000</v>
      </c>
      <c r="S20" s="564">
        <f t="shared" si="5"/>
        <v>21265377</v>
      </c>
      <c r="T20" s="1059">
        <f>'[1]Дотация  из  ОБ_факт'!AA16</f>
        <v>0</v>
      </c>
      <c r="U20" s="331"/>
      <c r="V20" s="784">
        <f>'[1]Дотация  из  ОБ_факт'!AE16+'[1]Дотация  из  ОБ_факт'!AG16+'[1]Дотация  из  ОБ_факт'!AK16</f>
        <v>0</v>
      </c>
      <c r="W20" s="163">
        <f t="shared" si="6"/>
        <v>0</v>
      </c>
      <c r="X20" s="567"/>
      <c r="Y20" s="566"/>
      <c r="Z20" s="567"/>
      <c r="AA20" s="563">
        <f>'[1]Дотация  из  ОБ_факт'!AC16+'[1]Дотация  из  ОБ_факт'!AI16</f>
        <v>0</v>
      </c>
      <c r="AB20" s="165">
        <f t="shared" si="7"/>
        <v>0</v>
      </c>
      <c r="AC20" s="566"/>
      <c r="AD20" s="567"/>
      <c r="AE20" s="564">
        <f t="shared" si="8"/>
        <v>0</v>
      </c>
      <c r="AF20" s="571">
        <f t="shared" si="9"/>
        <v>0</v>
      </c>
      <c r="AG20" s="565">
        <f>'[1]Дотация  из  ОБ_факт'!AI16</f>
        <v>0</v>
      </c>
      <c r="AH20" s="1370">
        <f t="shared" si="131"/>
        <v>0</v>
      </c>
      <c r="AI20" s="559">
        <f>'Проверочная  таблица'!KI20+NU20+OA20+'Проверочная  таблица'!RK20+'Проверочная  таблица'!RM20+DE20+DG20+DM20+DO20+'Проверочная  таблица'!MY20+'Проверочная  таблица'!NC20+CG20+CQ20+'Проверочная  таблица'!HE20+'Проверочная  таблица'!HW20+'Проверочная  таблица'!ES20+'Проверочная  таблица'!JY20+DU20+'Проверочная  таблица'!GA20+'Проверочная  таблица'!GG20+'Проверочная  таблица'!LG20+'Проверочная  таблица'!LU20+FU20+'Проверочная  таблица'!KU20+RI20+OS20+PG20+EK20+AK20+AW20+FO20+FE20+GY20+EY20</f>
        <v>121683711.16</v>
      </c>
      <c r="AJ20" s="487">
        <f>'Проверочная  таблица'!KO20+NX20+OD20+'Проверочная  таблица'!RL20+'Проверочная  таблица'!RN20+DF20+DH20+DN20+DP20+'Проверочная  таблица'!NA20+'Проверочная  таблица'!NF20+CL20+CV20+'Проверочная  таблица'!HN20+'Проверочная  таблица'!IF20+'Проверочная  таблица'!EV20+'Проверочная  таблица'!KD20+EC20+'Проверочная  таблица'!GD20+'Проверочная  таблица'!GJ20+'Проверочная  таблица'!LN20+'Проверочная  таблица'!LZ20+FX20+'Проверочная  таблица'!KY20+FR20+RJ20+PP20+OZ20+EM20+AQ20+BC20+FJ20+HB20+FB20</f>
        <v>97385290.679999992</v>
      </c>
      <c r="AK20" s="487">
        <f t="shared" si="10"/>
        <v>0</v>
      </c>
      <c r="AL20" s="332">
        <f>[1]Субсидия_факт!CO18</f>
        <v>0</v>
      </c>
      <c r="AM20" s="523">
        <f>[1]Субсидия_факт!FK18</f>
        <v>0</v>
      </c>
      <c r="AN20" s="498">
        <f>[1]Субсидия_факт!FW18</f>
        <v>0</v>
      </c>
      <c r="AO20" s="523">
        <f>[1]Субсидия_факт!KA18</f>
        <v>0</v>
      </c>
      <c r="AP20" s="332">
        <f>[1]Субсидия_факт!LE18</f>
        <v>0</v>
      </c>
      <c r="AQ20" s="487">
        <f t="shared" si="11"/>
        <v>0</v>
      </c>
      <c r="AR20" s="462"/>
      <c r="AS20" s="462"/>
      <c r="AT20" s="462"/>
      <c r="AU20" s="462"/>
      <c r="AV20" s="462"/>
      <c r="AW20" s="487">
        <f t="shared" si="132"/>
        <v>8900000</v>
      </c>
      <c r="AX20" s="452">
        <f>[1]Субсидия_факт!CQ18</f>
        <v>0</v>
      </c>
      <c r="AY20" s="332">
        <f>[1]Субсидия_факт!FO18</f>
        <v>0</v>
      </c>
      <c r="AZ20" s="476">
        <f>[1]Субсидия_факт!JK18</f>
        <v>8900000</v>
      </c>
      <c r="BA20" s="496">
        <f>[1]Субсидия_факт!KC18</f>
        <v>0</v>
      </c>
      <c r="BB20" s="498">
        <f>[1]Субсидия_факт!LG18</f>
        <v>0</v>
      </c>
      <c r="BC20" s="487">
        <f t="shared" si="133"/>
        <v>6037170.2999999998</v>
      </c>
      <c r="BD20" s="529"/>
      <c r="BE20" s="529"/>
      <c r="BF20" s="333">
        <v>6037170.2999999998</v>
      </c>
      <c r="BG20" s="530"/>
      <c r="BH20" s="529"/>
      <c r="BI20" s="657">
        <f t="shared" si="134"/>
        <v>8900000</v>
      </c>
      <c r="BJ20" s="1025">
        <f t="shared" si="12"/>
        <v>0</v>
      </c>
      <c r="BK20" s="452">
        <f t="shared" si="13"/>
        <v>0</v>
      </c>
      <c r="BL20" s="452">
        <f t="shared" si="14"/>
        <v>8900000</v>
      </c>
      <c r="BM20" s="332">
        <f t="shared" si="15"/>
        <v>0</v>
      </c>
      <c r="BN20" s="488">
        <f t="shared" si="16"/>
        <v>0</v>
      </c>
      <c r="BO20" s="657">
        <f t="shared" si="135"/>
        <v>6037170.2999999998</v>
      </c>
      <c r="BP20" s="607">
        <f t="shared" si="17"/>
        <v>0</v>
      </c>
      <c r="BQ20" s="496">
        <f t="shared" si="18"/>
        <v>0</v>
      </c>
      <c r="BR20" s="332">
        <f t="shared" si="19"/>
        <v>6037170.2999999998</v>
      </c>
      <c r="BS20" s="430">
        <f t="shared" si="20"/>
        <v>0</v>
      </c>
      <c r="BT20" s="332">
        <f t="shared" si="21"/>
        <v>0</v>
      </c>
      <c r="BU20" s="657">
        <f t="shared" si="136"/>
        <v>0</v>
      </c>
      <c r="BV20" s="452">
        <f>[1]Субсидия_факт!CS18</f>
        <v>0</v>
      </c>
      <c r="BW20" s="332">
        <f>[1]Субсидия_факт!FQ18</f>
        <v>0</v>
      </c>
      <c r="BX20" s="476">
        <f>[1]Субсидия_факт!JM18</f>
        <v>0</v>
      </c>
      <c r="BY20" s="430">
        <f>[1]Субсидия_факт!KE18</f>
        <v>0</v>
      </c>
      <c r="BZ20" s="332">
        <f>[1]Субсидия_факт!LI18</f>
        <v>0</v>
      </c>
      <c r="CA20" s="659">
        <f t="shared" si="137"/>
        <v>0</v>
      </c>
      <c r="CB20" s="782"/>
      <c r="CC20" s="529"/>
      <c r="CD20" s="462"/>
      <c r="CE20" s="529"/>
      <c r="CF20" s="529"/>
      <c r="CG20" s="517">
        <f t="shared" si="22"/>
        <v>19859951</v>
      </c>
      <c r="CH20" s="430">
        <f>[1]Субсидия_факт!LM18</f>
        <v>0</v>
      </c>
      <c r="CI20" s="452">
        <f>[1]Субсидия_факт!LS18</f>
        <v>19859951</v>
      </c>
      <c r="CJ20" s="332">
        <f>[1]Субсидия_факт!ME18</f>
        <v>0</v>
      </c>
      <c r="CK20" s="511">
        <f>[1]Субсидия_факт!MK18</f>
        <v>0</v>
      </c>
      <c r="CL20" s="517">
        <f t="shared" si="23"/>
        <v>19859951</v>
      </c>
      <c r="CM20" s="529"/>
      <c r="CN20" s="529">
        <v>19859951</v>
      </c>
      <c r="CO20" s="529"/>
      <c r="CP20" s="610"/>
      <c r="CQ20" s="517">
        <f t="shared" si="24"/>
        <v>0</v>
      </c>
      <c r="CR20" s="452">
        <f>[1]Субсидия_факт!LO18</f>
        <v>0</v>
      </c>
      <c r="CS20" s="452">
        <f>[1]Субсидия_факт!LU18</f>
        <v>0</v>
      </c>
      <c r="CT20" s="332">
        <f>[1]Субсидия_факт!MG18</f>
        <v>0</v>
      </c>
      <c r="CU20" s="511">
        <f>[1]Субсидия_факт!MM18</f>
        <v>0</v>
      </c>
      <c r="CV20" s="517">
        <f t="shared" si="25"/>
        <v>0</v>
      </c>
      <c r="CW20" s="529"/>
      <c r="CX20" s="530"/>
      <c r="CY20" s="782"/>
      <c r="CZ20" s="719"/>
      <c r="DA20" s="528">
        <f t="shared" si="138"/>
        <v>0</v>
      </c>
      <c r="DB20" s="526">
        <f t="shared" si="139"/>
        <v>0</v>
      </c>
      <c r="DC20" s="525">
        <f t="shared" si="140"/>
        <v>0</v>
      </c>
      <c r="DD20" s="528">
        <f t="shared" si="141"/>
        <v>0</v>
      </c>
      <c r="DE20" s="524">
        <f>[1]Субсидия_факт!GC18</f>
        <v>0</v>
      </c>
      <c r="DF20" s="330"/>
      <c r="DG20" s="522">
        <f>[1]Субсидия_факт!GE18</f>
        <v>0</v>
      </c>
      <c r="DH20" s="330"/>
      <c r="DI20" s="757">
        <f t="shared" si="142"/>
        <v>0</v>
      </c>
      <c r="DJ20" s="570">
        <f t="shared" si="143"/>
        <v>0</v>
      </c>
      <c r="DK20" s="757">
        <f>[1]Субсидия_факт!GG18</f>
        <v>0</v>
      </c>
      <c r="DL20" s="1387">
        <f t="shared" si="144"/>
        <v>0</v>
      </c>
      <c r="DM20" s="516">
        <f>[1]Субсидия_факт!GI18</f>
        <v>0</v>
      </c>
      <c r="DN20" s="604"/>
      <c r="DO20" s="517">
        <f>[1]Субсидия_факт!GK18</f>
        <v>0</v>
      </c>
      <c r="DP20" s="604"/>
      <c r="DQ20" s="526">
        <f t="shared" si="28"/>
        <v>0</v>
      </c>
      <c r="DR20" s="526">
        <f t="shared" si="29"/>
        <v>0</v>
      </c>
      <c r="DS20" s="653">
        <f t="shared" si="30"/>
        <v>0</v>
      </c>
      <c r="DT20" s="1385">
        <f t="shared" si="145"/>
        <v>0</v>
      </c>
      <c r="DU20" s="517">
        <f t="shared" si="31"/>
        <v>0</v>
      </c>
      <c r="DV20" s="523">
        <f>[1]Субсидия_факт!E18</f>
        <v>0</v>
      </c>
      <c r="DW20" s="1025">
        <f>[1]Субсидия_факт!G18</f>
        <v>0</v>
      </c>
      <c r="DX20" s="678">
        <f>[1]Субсидия_факт!I18</f>
        <v>0</v>
      </c>
      <c r="DY20" s="636">
        <f>[1]Субсидия_факт!K18</f>
        <v>0</v>
      </c>
      <c r="DZ20" s="786">
        <f>[1]Субсидия_факт!M18</f>
        <v>0</v>
      </c>
      <c r="EA20" s="498">
        <f>[1]Субсидия_факт!O18</f>
        <v>0</v>
      </c>
      <c r="EB20" s="636">
        <f>[1]Субсидия_факт!Q18</f>
        <v>0</v>
      </c>
      <c r="EC20" s="516">
        <f t="shared" si="32"/>
        <v>0</v>
      </c>
      <c r="ED20" s="530"/>
      <c r="EE20" s="529"/>
      <c r="EF20" s="682"/>
      <c r="EG20" s="529"/>
      <c r="EH20" s="682"/>
      <c r="EI20" s="530"/>
      <c r="EJ20" s="607">
        <f t="shared" si="146"/>
        <v>0</v>
      </c>
      <c r="EK20" s="516">
        <f t="shared" si="147"/>
        <v>0</v>
      </c>
      <c r="EL20" s="1223">
        <f>[1]Субсидия_факт!S18</f>
        <v>0</v>
      </c>
      <c r="EM20" s="524">
        <f t="shared" si="147"/>
        <v>0</v>
      </c>
      <c r="EN20" s="607">
        <f t="shared" si="148"/>
        <v>0</v>
      </c>
      <c r="EO20" s="570">
        <f t="shared" si="149"/>
        <v>0</v>
      </c>
      <c r="EP20" s="633">
        <f t="shared" si="150"/>
        <v>0</v>
      </c>
      <c r="EQ20" s="633">
        <f>[1]Субсидия_факт!U18</f>
        <v>0</v>
      </c>
      <c r="ER20" s="1245">
        <f t="shared" si="151"/>
        <v>0</v>
      </c>
      <c r="ES20" s="487">
        <f t="shared" si="33"/>
        <v>0</v>
      </c>
      <c r="ET20" s="511">
        <f>[1]Субсидия_факт!AU18</f>
        <v>0</v>
      </c>
      <c r="EU20" s="890">
        <f>[1]Субсидия_факт!AW18</f>
        <v>0</v>
      </c>
      <c r="EV20" s="454">
        <f t="shared" si="34"/>
        <v>0</v>
      </c>
      <c r="EW20" s="777"/>
      <c r="EX20" s="1095"/>
      <c r="EY20" s="487">
        <f t="shared" si="35"/>
        <v>0</v>
      </c>
      <c r="EZ20" s="511">
        <f>[1]Субсидия_факт!FY18</f>
        <v>0</v>
      </c>
      <c r="FA20" s="890">
        <f>[1]Субсидия_факт!GA18</f>
        <v>0</v>
      </c>
      <c r="FB20" s="454">
        <f t="shared" si="36"/>
        <v>0</v>
      </c>
      <c r="FC20" s="777"/>
      <c r="FD20" s="1095"/>
      <c r="FE20" s="517">
        <f t="shared" si="152"/>
        <v>2864400</v>
      </c>
      <c r="FF20" s="430">
        <f>[1]Субсидия_факт!W18</f>
        <v>143220</v>
      </c>
      <c r="FG20" s="931">
        <f>[1]Субсидия_факт!Y18</f>
        <v>2721180</v>
      </c>
      <c r="FH20" s="452">
        <f>[1]Субсидия_факт!AA18</f>
        <v>0</v>
      </c>
      <c r="FI20" s="686">
        <f>[1]Субсидия_факт!AC18</f>
        <v>0</v>
      </c>
      <c r="FJ20" s="516">
        <f t="shared" si="153"/>
        <v>2864400</v>
      </c>
      <c r="FK20" s="1479">
        <f>FF20</f>
        <v>143220</v>
      </c>
      <c r="FL20" s="678">
        <f>FG20</f>
        <v>2721180</v>
      </c>
      <c r="FM20" s="462"/>
      <c r="FN20" s="682"/>
      <c r="FO20" s="487">
        <f t="shared" si="37"/>
        <v>0</v>
      </c>
      <c r="FP20" s="511">
        <f>[1]Субсидия_факт!AY18</f>
        <v>0</v>
      </c>
      <c r="FQ20" s="890">
        <f>[1]Субсидия_факт!BA18</f>
        <v>0</v>
      </c>
      <c r="FR20" s="454">
        <f t="shared" si="38"/>
        <v>0</v>
      </c>
      <c r="FS20" s="777"/>
      <c r="FT20" s="673"/>
      <c r="FU20" s="524">
        <f t="shared" si="154"/>
        <v>0</v>
      </c>
      <c r="FV20" s="498">
        <f>[1]Субсидия_факт!EE18</f>
        <v>0</v>
      </c>
      <c r="FW20" s="686">
        <f>[1]Субсидия_факт!EG18</f>
        <v>0</v>
      </c>
      <c r="FX20" s="517">
        <f t="shared" si="155"/>
        <v>0</v>
      </c>
      <c r="FY20" s="529"/>
      <c r="FZ20" s="704"/>
      <c r="GA20" s="559">
        <f t="shared" si="41"/>
        <v>1348233</v>
      </c>
      <c r="GB20" s="511">
        <f>[1]Субсидия_факт!DS18</f>
        <v>377507.09</v>
      </c>
      <c r="GC20" s="890">
        <f>[1]Субсидия_факт!DY18</f>
        <v>970725.91</v>
      </c>
      <c r="GD20" s="454">
        <f t="shared" si="42"/>
        <v>1348233</v>
      </c>
      <c r="GE20" s="1290">
        <f t="shared" si="193"/>
        <v>377507.09</v>
      </c>
      <c r="GF20" s="671">
        <f t="shared" si="193"/>
        <v>970725.91</v>
      </c>
      <c r="GG20" s="454">
        <f t="shared" si="43"/>
        <v>0</v>
      </c>
      <c r="GH20" s="511">
        <f>[1]Субсидия_факт!DU18</f>
        <v>0</v>
      </c>
      <c r="GI20" s="751">
        <f>[1]Субсидия_факт!EA18</f>
        <v>0</v>
      </c>
      <c r="GJ20" s="454">
        <f t="shared" si="44"/>
        <v>0</v>
      </c>
      <c r="GK20" s="610"/>
      <c r="GL20" s="706"/>
      <c r="GM20" s="659">
        <f t="shared" si="45"/>
        <v>0</v>
      </c>
      <c r="GN20" s="749">
        <f>'Проверочная  таблица'!GH20-'Проверочная  таблица'!GT20</f>
        <v>0</v>
      </c>
      <c r="GO20" s="671">
        <f>'Проверочная  таблица'!GI20-'Проверочная  таблица'!GU20</f>
        <v>0</v>
      </c>
      <c r="GP20" s="653">
        <f t="shared" si="46"/>
        <v>0</v>
      </c>
      <c r="GQ20" s="756">
        <f>'Проверочная  таблица'!GK20-'Проверочная  таблица'!GW20</f>
        <v>0</v>
      </c>
      <c r="GR20" s="768">
        <f>'Проверочная  таблица'!GL20-'Проверочная  таблица'!GX20</f>
        <v>0</v>
      </c>
      <c r="GS20" s="659">
        <f t="shared" si="47"/>
        <v>0</v>
      </c>
      <c r="GT20" s="511">
        <f>[1]Субсидия_факт!DW18</f>
        <v>0</v>
      </c>
      <c r="GU20" s="890">
        <f>[1]Субсидия_факт!EC18</f>
        <v>0</v>
      </c>
      <c r="GV20" s="659">
        <f t="shared" si="48"/>
        <v>0</v>
      </c>
      <c r="GW20" s="511"/>
      <c r="GX20" s="751"/>
      <c r="GY20" s="454">
        <f t="shared" si="49"/>
        <v>0</v>
      </c>
      <c r="GZ20" s="756">
        <f>[1]Субсидия_факт!AE18</f>
        <v>0</v>
      </c>
      <c r="HA20" s="671">
        <f>[1]Субсидия_факт!AG18</f>
        <v>0</v>
      </c>
      <c r="HB20" s="454">
        <f t="shared" si="50"/>
        <v>0</v>
      </c>
      <c r="HC20" s="756"/>
      <c r="HD20" s="671"/>
      <c r="HE20" s="747">
        <f t="shared" si="51"/>
        <v>688135.19</v>
      </c>
      <c r="HF20" s="756">
        <f>[1]Субсидия_факт!BW18</f>
        <v>0</v>
      </c>
      <c r="HG20" s="671">
        <f>[1]Субсидия_факт!CC18</f>
        <v>0</v>
      </c>
      <c r="HH20" s="511">
        <f>[1]Субсидия_факт!CU18</f>
        <v>362318.83999999997</v>
      </c>
      <c r="HI20" s="890">
        <f>[1]Субсидия_факт!DA18</f>
        <v>41364.730000000003</v>
      </c>
      <c r="HJ20" s="511">
        <f>[1]Субсидия_факт!DG18</f>
        <v>129032.26</v>
      </c>
      <c r="HK20" s="890">
        <f>[1]Субсидия_факт!DM18</f>
        <v>155419.35999999999</v>
      </c>
      <c r="HL20" s="511">
        <f>[1]Субсидия_факт!EI18</f>
        <v>0</v>
      </c>
      <c r="HM20" s="751">
        <f>[1]Субсидия_факт!EO18</f>
        <v>0</v>
      </c>
      <c r="HN20" s="747">
        <f t="shared" si="52"/>
        <v>688135.19</v>
      </c>
      <c r="HO20" s="610"/>
      <c r="HP20" s="673"/>
      <c r="HQ20" s="756">
        <f t="shared" si="156"/>
        <v>362318.83999999997</v>
      </c>
      <c r="HR20" s="768">
        <f t="shared" si="188"/>
        <v>41364.730000000003</v>
      </c>
      <c r="HS20" s="756">
        <f t="shared" si="157"/>
        <v>129032.26</v>
      </c>
      <c r="HT20" s="1480">
        <f t="shared" si="158"/>
        <v>155419.35999999999</v>
      </c>
      <c r="HU20" s="610"/>
      <c r="HV20" s="673"/>
      <c r="HW20" s="747">
        <f t="shared" si="53"/>
        <v>0</v>
      </c>
      <c r="HX20" s="756">
        <f>[1]Субсидия_факт!BY18</f>
        <v>0</v>
      </c>
      <c r="HY20" s="671">
        <f>[1]Субсидия_факт!CE18</f>
        <v>0</v>
      </c>
      <c r="HZ20" s="511">
        <f>[1]Субсидия_факт!CW18</f>
        <v>0</v>
      </c>
      <c r="IA20" s="751">
        <f>[1]Субсидия_факт!DC18</f>
        <v>0</v>
      </c>
      <c r="IB20" s="511">
        <f>[1]Субсидия_факт!DI18</f>
        <v>0</v>
      </c>
      <c r="IC20" s="890">
        <f>[1]Субсидия_факт!DO18</f>
        <v>0</v>
      </c>
      <c r="ID20" s="511">
        <f>[1]Субсидия_факт!EK18</f>
        <v>0</v>
      </c>
      <c r="IE20" s="751">
        <f>[1]Субсидия_факт!EQ18</f>
        <v>0</v>
      </c>
      <c r="IF20" s="747">
        <f t="shared" si="54"/>
        <v>0</v>
      </c>
      <c r="IG20" s="610"/>
      <c r="IH20" s="673"/>
      <c r="II20" s="749">
        <f t="shared" si="159"/>
        <v>0</v>
      </c>
      <c r="IJ20" s="671">
        <f t="shared" si="160"/>
        <v>0</v>
      </c>
      <c r="IK20" s="777"/>
      <c r="IL20" s="673"/>
      <c r="IM20" s="610"/>
      <c r="IN20" s="673"/>
      <c r="IO20" s="750">
        <f t="shared" si="55"/>
        <v>0</v>
      </c>
      <c r="IP20" s="756">
        <f>'Проверочная  таблица'!HX20-JH20</f>
        <v>0</v>
      </c>
      <c r="IQ20" s="671">
        <f>'Проверочная  таблица'!HY20-JI20</f>
        <v>0</v>
      </c>
      <c r="IR20" s="756">
        <f>'Проверочная  таблица'!HZ20-JJ20</f>
        <v>0</v>
      </c>
      <c r="IS20" s="671">
        <f>'Проверочная  таблица'!IA20-JK20</f>
        <v>0</v>
      </c>
      <c r="IT20" s="749">
        <f>'Проверочная  таблица'!IB20-JL20</f>
        <v>0</v>
      </c>
      <c r="IU20" s="671">
        <f>'Проверочная  таблица'!IC20-JM20</f>
        <v>0</v>
      </c>
      <c r="IV20" s="756">
        <f>'Проверочная  таблица'!ID20-JN20</f>
        <v>0</v>
      </c>
      <c r="IW20" s="671">
        <f>'Проверочная  таблица'!IE20-JO20</f>
        <v>0</v>
      </c>
      <c r="IX20" s="750">
        <f t="shared" si="56"/>
        <v>0</v>
      </c>
      <c r="IY20" s="756">
        <f>'Проверочная  таблица'!IG20-JQ20</f>
        <v>0</v>
      </c>
      <c r="IZ20" s="810">
        <f>'Проверочная  таблица'!IH20-JR20</f>
        <v>0</v>
      </c>
      <c r="JA20" s="756">
        <f>'Проверочная  таблица'!II20-JS20</f>
        <v>0</v>
      </c>
      <c r="JB20" s="768">
        <f>'Проверочная  таблица'!IJ20-JT20</f>
        <v>0</v>
      </c>
      <c r="JC20" s="756">
        <f>'Проверочная  таблица'!IK20-JU20</f>
        <v>0</v>
      </c>
      <c r="JD20" s="768">
        <f>'Проверочная  таблица'!IL20-JV20</f>
        <v>0</v>
      </c>
      <c r="JE20" s="756">
        <f>'Проверочная  таблица'!IM20-JW20</f>
        <v>0</v>
      </c>
      <c r="JF20" s="768">
        <f>'Проверочная  таблица'!IN20-JX20</f>
        <v>0</v>
      </c>
      <c r="JG20" s="659">
        <f t="shared" si="57"/>
        <v>0</v>
      </c>
      <c r="JH20" s="756">
        <f>[1]Субсидия_факт!CA18</f>
        <v>0</v>
      </c>
      <c r="JI20" s="671">
        <f>[1]Субсидия_факт!CG18</f>
        <v>0</v>
      </c>
      <c r="JJ20" s="511">
        <f>[1]Субсидия_факт!CY18</f>
        <v>0</v>
      </c>
      <c r="JK20" s="751">
        <f>[1]Субсидия_факт!DE18</f>
        <v>0</v>
      </c>
      <c r="JL20" s="511">
        <f>[1]Субсидия_факт!DK18</f>
        <v>0</v>
      </c>
      <c r="JM20" s="890">
        <f>[1]Субсидия_факт!DQ18</f>
        <v>0</v>
      </c>
      <c r="JN20" s="511">
        <f>[1]Субсидия_факт!EM18</f>
        <v>0</v>
      </c>
      <c r="JO20" s="751">
        <f>[1]Субсидия_факт!ES18</f>
        <v>0</v>
      </c>
      <c r="JP20" s="750">
        <f t="shared" si="58"/>
        <v>0</v>
      </c>
      <c r="JQ20" s="610"/>
      <c r="JR20" s="673"/>
      <c r="JS20" s="513"/>
      <c r="JT20" s="788"/>
      <c r="JU20" s="513"/>
      <c r="JV20" s="885"/>
      <c r="JW20" s="610"/>
      <c r="JX20" s="673"/>
      <c r="JY20" s="454">
        <f t="shared" si="161"/>
        <v>0</v>
      </c>
      <c r="JZ20" s="511">
        <f>[1]Субсидия_факт!BC18</f>
        <v>0</v>
      </c>
      <c r="KA20" s="890">
        <f>[1]Субсидия_факт!BE18</f>
        <v>0</v>
      </c>
      <c r="KB20" s="511">
        <f>[1]Субсидия_факт!BG18</f>
        <v>0</v>
      </c>
      <c r="KC20" s="890">
        <f>[1]Субсидия_факт!BI18</f>
        <v>0</v>
      </c>
      <c r="KD20" s="454">
        <f t="shared" si="162"/>
        <v>0</v>
      </c>
      <c r="KE20" s="610"/>
      <c r="KF20" s="673"/>
      <c r="KG20" s="610"/>
      <c r="KH20" s="673"/>
      <c r="KI20" s="524">
        <f t="shared" si="59"/>
        <v>427032.13</v>
      </c>
      <c r="KJ20" s="511">
        <f>[1]Субсидия_факт!HO18</f>
        <v>427032.13</v>
      </c>
      <c r="KK20" s="523">
        <f>[1]Субсидия_факт!HQ18</f>
        <v>0</v>
      </c>
      <c r="KL20" s="686">
        <f>[1]Субсидия_факт!HS18</f>
        <v>0</v>
      </c>
      <c r="KM20" s="636">
        <f>[1]Субсидия_факт!IC18</f>
        <v>0</v>
      </c>
      <c r="KN20" s="686">
        <f>[1]Субсидия_факт!IE18</f>
        <v>0</v>
      </c>
      <c r="KO20" s="487">
        <f t="shared" si="163"/>
        <v>427032.13</v>
      </c>
      <c r="KP20" s="756">
        <f t="shared" si="164"/>
        <v>427032.13</v>
      </c>
      <c r="KQ20" s="333"/>
      <c r="KR20" s="682"/>
      <c r="KS20" s="462"/>
      <c r="KT20" s="682"/>
      <c r="KU20" s="454">
        <f t="shared" si="60"/>
        <v>0</v>
      </c>
      <c r="KV20" s="513">
        <f>[1]Субсидия_факт!HY18</f>
        <v>0</v>
      </c>
      <c r="KW20" s="513">
        <f>[1]Субсидия_факт!HU18</f>
        <v>0</v>
      </c>
      <c r="KX20" s="751">
        <f>[1]Субсидия_факт!HW18</f>
        <v>0</v>
      </c>
      <c r="KY20" s="454">
        <f t="shared" si="61"/>
        <v>0</v>
      </c>
      <c r="KZ20" s="756">
        <f t="shared" si="165"/>
        <v>0</v>
      </c>
      <c r="LA20" s="610"/>
      <c r="LB20" s="673"/>
      <c r="LC20" s="886">
        <f t="shared" si="62"/>
        <v>0</v>
      </c>
      <c r="LD20" s="886">
        <f t="shared" si="63"/>
        <v>0</v>
      </c>
      <c r="LE20" s="657">
        <f t="shared" si="64"/>
        <v>0</v>
      </c>
      <c r="LF20" s="1038">
        <f t="shared" si="65"/>
        <v>0</v>
      </c>
      <c r="LG20" s="753">
        <f t="shared" si="166"/>
        <v>0</v>
      </c>
      <c r="LH20" s="511">
        <f>[1]Субсидия_факт!OG18</f>
        <v>0</v>
      </c>
      <c r="LI20" s="890">
        <f>[1]Субсидия_факт!OM18</f>
        <v>0</v>
      </c>
      <c r="LJ20" s="511">
        <f>[1]Субсидия_факт!OS18</f>
        <v>0</v>
      </c>
      <c r="LK20" s="890">
        <f>[1]Субсидия_факт!OY18</f>
        <v>0</v>
      </c>
      <c r="LL20" s="756">
        <f>[1]Субсидия_факт!PE18</f>
        <v>0</v>
      </c>
      <c r="LM20" s="768">
        <f>[1]Субсидия_факт!PI18</f>
        <v>0</v>
      </c>
      <c r="LN20" s="753">
        <f t="shared" si="66"/>
        <v>0</v>
      </c>
      <c r="LO20" s="777"/>
      <c r="LP20" s="673"/>
      <c r="LQ20" s="610"/>
      <c r="LR20" s="776"/>
      <c r="LS20" s="610"/>
      <c r="LT20" s="776"/>
      <c r="LU20" s="753">
        <f t="shared" si="67"/>
        <v>0</v>
      </c>
      <c r="LV20" s="511">
        <f>[1]Субсидия_факт!OI18</f>
        <v>0</v>
      </c>
      <c r="LW20" s="890">
        <f>[1]Субсидия_факт!OO18</f>
        <v>0</v>
      </c>
      <c r="LX20" s="513">
        <f>[1]Субсидия_факт!OU18</f>
        <v>0</v>
      </c>
      <c r="LY20" s="751">
        <f>[1]Субсидия_факт!PA18</f>
        <v>0</v>
      </c>
      <c r="LZ20" s="754">
        <f t="shared" si="68"/>
        <v>0</v>
      </c>
      <c r="MA20" s="610"/>
      <c r="MB20" s="776"/>
      <c r="MC20" s="610"/>
      <c r="MD20" s="673"/>
      <c r="ME20" s="652">
        <f t="shared" si="69"/>
        <v>0</v>
      </c>
      <c r="MF20" s="642">
        <f>'Проверочная  таблица'!LV20-MP20</f>
        <v>0</v>
      </c>
      <c r="MG20" s="678">
        <f>'Проверочная  таблица'!LW20-MQ20</f>
        <v>0</v>
      </c>
      <c r="MH20" s="765">
        <f>'Проверочная  таблица'!LY20-MR20</f>
        <v>0</v>
      </c>
      <c r="MI20" s="607">
        <f>'Проверочная  таблица'!LX20-MS20</f>
        <v>0</v>
      </c>
      <c r="MJ20" s="755">
        <f t="shared" si="70"/>
        <v>0</v>
      </c>
      <c r="MK20" s="749">
        <f>'Проверочная  таблица'!MA20-MU20</f>
        <v>0</v>
      </c>
      <c r="ML20" s="671">
        <f>'Проверочная  таблица'!MB20-MV20</f>
        <v>0</v>
      </c>
      <c r="MM20" s="768">
        <f>'Проверочная  таблица'!MD20-MW20</f>
        <v>0</v>
      </c>
      <c r="MN20" s="756">
        <f>'Проверочная  таблица'!MC20-MX20</f>
        <v>0</v>
      </c>
      <c r="MO20" s="779">
        <f t="shared" si="71"/>
        <v>0</v>
      </c>
      <c r="MP20" s="511">
        <f>[1]Субсидия_факт!OK18</f>
        <v>0</v>
      </c>
      <c r="MQ20" s="890">
        <f>[1]Субсидия_факт!OQ18</f>
        <v>0</v>
      </c>
      <c r="MR20" s="890">
        <f>[1]Субсидия_факт!PC18</f>
        <v>0</v>
      </c>
      <c r="MS20" s="511">
        <f>[1]Субсидия_факт!OW18</f>
        <v>0</v>
      </c>
      <c r="MT20" s="755">
        <f t="shared" si="72"/>
        <v>0</v>
      </c>
      <c r="MU20" s="749">
        <f t="shared" si="167"/>
        <v>0</v>
      </c>
      <c r="MV20" s="671">
        <f t="shared" si="168"/>
        <v>0</v>
      </c>
      <c r="MW20" s="768">
        <f t="shared" si="169"/>
        <v>0</v>
      </c>
      <c r="MX20" s="756">
        <f t="shared" si="73"/>
        <v>0</v>
      </c>
      <c r="MY20" s="524">
        <f>SUM('Проверочная  таблица'!MZ20:MZ20)</f>
        <v>0</v>
      </c>
      <c r="MZ20" s="333"/>
      <c r="NA20" s="524">
        <f>SUM('Проверочная  таблица'!NB20:NB20)</f>
        <v>0</v>
      </c>
      <c r="NB20" s="462"/>
      <c r="NC20" s="524">
        <f t="shared" si="74"/>
        <v>0</v>
      </c>
      <c r="ND20" s="452">
        <f>[1]Субсидия_факт!IU18</f>
        <v>0</v>
      </c>
      <c r="NE20" s="686">
        <f>[1]Субсидия_факт!IY18</f>
        <v>0</v>
      </c>
      <c r="NF20" s="517">
        <f t="shared" si="75"/>
        <v>0</v>
      </c>
      <c r="NG20" s="529"/>
      <c r="NH20" s="774"/>
      <c r="NI20" s="570">
        <f t="shared" si="76"/>
        <v>0</v>
      </c>
      <c r="NJ20" s="1000">
        <f>'Проверочная  таблица'!ND20-NP20</f>
        <v>0</v>
      </c>
      <c r="NK20" s="678">
        <f>'Проверочная  таблица'!NE20-NQ20</f>
        <v>0</v>
      </c>
      <c r="NL20" s="570">
        <f t="shared" si="77"/>
        <v>0</v>
      </c>
      <c r="NM20" s="476">
        <f>'Проверочная  таблица'!NG20-NS20</f>
        <v>0</v>
      </c>
      <c r="NN20" s="678">
        <f>'Проверочная  таблица'!NH20-NT20</f>
        <v>0</v>
      </c>
      <c r="NO20" s="633">
        <f t="shared" si="78"/>
        <v>0</v>
      </c>
      <c r="NP20" s="452">
        <f>[1]Субсидия_факт!IW18</f>
        <v>0</v>
      </c>
      <c r="NQ20" s="686">
        <f>[1]Субсидия_факт!JA18</f>
        <v>0</v>
      </c>
      <c r="NR20" s="570">
        <f t="shared" si="79"/>
        <v>0</v>
      </c>
      <c r="NS20" s="476"/>
      <c r="NT20" s="710"/>
      <c r="NU20" s="517">
        <f t="shared" si="170"/>
        <v>0</v>
      </c>
      <c r="NV20" s="332">
        <f>[1]Субсидия_факт!FA18</f>
        <v>0</v>
      </c>
      <c r="NW20" s="786">
        <f>[1]Субсидия_факт!FC18</f>
        <v>0</v>
      </c>
      <c r="NX20" s="517">
        <f t="shared" si="171"/>
        <v>0</v>
      </c>
      <c r="NY20" s="462"/>
      <c r="NZ20" s="682"/>
      <c r="OA20" s="517">
        <f t="shared" si="172"/>
        <v>0</v>
      </c>
      <c r="OD20" s="517">
        <f t="shared" si="173"/>
        <v>0</v>
      </c>
      <c r="OG20" s="526">
        <f t="shared" si="174"/>
        <v>0</v>
      </c>
      <c r="OJ20" s="526">
        <f t="shared" si="175"/>
        <v>0</v>
      </c>
      <c r="OM20" s="526">
        <f t="shared" si="176"/>
        <v>0</v>
      </c>
      <c r="OP20" s="526">
        <f t="shared" si="177"/>
        <v>0</v>
      </c>
      <c r="OS20" s="524">
        <f t="shared" si="80"/>
        <v>0</v>
      </c>
      <c r="OT20" s="498">
        <f>[1]Субсидия_факт!JO18</f>
        <v>0</v>
      </c>
      <c r="OU20" s="786">
        <f>[1]Субсидия_факт!JQ18</f>
        <v>0</v>
      </c>
      <c r="OV20" s="332">
        <f>[1]Субсидия_факт!KS18</f>
        <v>0</v>
      </c>
      <c r="OW20" s="686">
        <f>[1]Субсидия_факт!KY18</f>
        <v>0</v>
      </c>
      <c r="OX20" s="498">
        <f>[1]Субсидия_факт!KG18</f>
        <v>0</v>
      </c>
      <c r="OY20" s="786">
        <f>[1]Субсидия_факт!KM18</f>
        <v>0</v>
      </c>
      <c r="OZ20" s="517">
        <f t="shared" si="81"/>
        <v>0</v>
      </c>
      <c r="PA20" s="462"/>
      <c r="PB20" s="682"/>
      <c r="PC20" s="333"/>
      <c r="PD20" s="704"/>
      <c r="PE20" s="462"/>
      <c r="PF20" s="794"/>
      <c r="PG20" s="524">
        <f t="shared" si="82"/>
        <v>0</v>
      </c>
      <c r="PH20" s="498">
        <f>[1]Субсидия_факт!JC18</f>
        <v>0</v>
      </c>
      <c r="PI20" s="931">
        <f>[1]Субсидия_факт!JG18</f>
        <v>0</v>
      </c>
      <c r="PJ20" s="476">
        <f>[1]Субсидия_факт!JS18</f>
        <v>0</v>
      </c>
      <c r="PK20" s="678">
        <f>[1]Субсидия_факт!JW18</f>
        <v>0</v>
      </c>
      <c r="PL20" s="498">
        <f>[1]Субсидия_факт!KU18</f>
        <v>0</v>
      </c>
      <c r="PM20" s="791">
        <f>[1]Субсидия_факт!LA18</f>
        <v>0</v>
      </c>
      <c r="PN20" s="498">
        <f>[1]Субсидия_факт!KI18</f>
        <v>0</v>
      </c>
      <c r="PO20" s="686">
        <f>[1]Субсидия_факт!KO18</f>
        <v>0</v>
      </c>
      <c r="PP20" s="517">
        <f t="shared" si="83"/>
        <v>0</v>
      </c>
      <c r="PQ20" s="529"/>
      <c r="PR20" s="771"/>
      <c r="PS20" s="462"/>
      <c r="PT20" s="682"/>
      <c r="PU20" s="529"/>
      <c r="PV20" s="774"/>
      <c r="PW20" s="529"/>
      <c r="PX20" s="682"/>
      <c r="PY20" s="570">
        <f t="shared" si="84"/>
        <v>0</v>
      </c>
      <c r="PZ20" s="452">
        <f t="shared" si="85"/>
        <v>0</v>
      </c>
      <c r="QA20" s="686">
        <f t="shared" si="86"/>
        <v>0</v>
      </c>
      <c r="QB20" s="430">
        <f t="shared" si="87"/>
        <v>0</v>
      </c>
      <c r="QC20" s="686">
        <f t="shared" si="88"/>
        <v>0</v>
      </c>
      <c r="QD20" s="332">
        <f t="shared" si="89"/>
        <v>0</v>
      </c>
      <c r="QE20" s="686">
        <f t="shared" si="90"/>
        <v>0</v>
      </c>
      <c r="QF20" s="430">
        <f t="shared" si="91"/>
        <v>0</v>
      </c>
      <c r="QG20" s="686">
        <f t="shared" si="92"/>
        <v>0</v>
      </c>
      <c r="QH20" s="633">
        <f t="shared" si="93"/>
        <v>0</v>
      </c>
      <c r="QI20" s="452">
        <f t="shared" si="94"/>
        <v>0</v>
      </c>
      <c r="QJ20" s="686">
        <f t="shared" si="95"/>
        <v>0</v>
      </c>
      <c r="QK20" s="430">
        <f t="shared" si="96"/>
        <v>0</v>
      </c>
      <c r="QL20" s="686">
        <f t="shared" si="97"/>
        <v>0</v>
      </c>
      <c r="QM20" s="332">
        <f t="shared" si="98"/>
        <v>0</v>
      </c>
      <c r="QN20" s="786">
        <f t="shared" si="99"/>
        <v>0</v>
      </c>
      <c r="QO20" s="332">
        <f t="shared" si="100"/>
        <v>0</v>
      </c>
      <c r="QP20" s="686">
        <f t="shared" si="101"/>
        <v>0</v>
      </c>
      <c r="QQ20" s="570">
        <f t="shared" si="102"/>
        <v>0</v>
      </c>
      <c r="QR20" s="430">
        <f>[1]Субсидия_факт!JE18</f>
        <v>0</v>
      </c>
      <c r="QS20" s="931">
        <f>[1]Субсидия_факт!JI18</f>
        <v>0</v>
      </c>
      <c r="QT20" s="607">
        <f>[1]Субсидия_факт!JU18</f>
        <v>0</v>
      </c>
      <c r="QU20" s="678">
        <f>[1]Субсидия_факт!JY18</f>
        <v>0</v>
      </c>
      <c r="QV20" s="332">
        <f>[1]Субсидия_факт!KW18</f>
        <v>0</v>
      </c>
      <c r="QW20" s="791">
        <f>[1]Субсидия_факт!LC18</f>
        <v>0</v>
      </c>
      <c r="QX20" s="332">
        <f>[1]Субсидия_факт!KK18</f>
        <v>0</v>
      </c>
      <c r="QY20" s="686">
        <f>[1]Субсидия_факт!KQ18</f>
        <v>0</v>
      </c>
      <c r="QZ20" s="570">
        <f t="shared" si="103"/>
        <v>0</v>
      </c>
      <c r="RA20" s="530"/>
      <c r="RB20" s="678"/>
      <c r="RC20" s="462"/>
      <c r="RD20" s="682"/>
      <c r="RE20" s="530"/>
      <c r="RF20" s="794"/>
      <c r="RG20" s="529"/>
      <c r="RH20" s="765"/>
      <c r="RI20" s="487">
        <f>[1]Субсидия_факт!PW18</f>
        <v>16760170.57</v>
      </c>
      <c r="RJ20" s="1240">
        <f t="shared" si="178"/>
        <v>16760170.57</v>
      </c>
      <c r="RK20" s="522">
        <f>'Прочая  субсидия_МР  и  ГО'!B16</f>
        <v>26070015.129999999</v>
      </c>
      <c r="RL20" s="517">
        <f>'Прочая  субсидия_МР  и  ГО'!C16</f>
        <v>21697857.130000003</v>
      </c>
      <c r="RM20" s="522">
        <f>'Прочая  субсидия_БП'!B16</f>
        <v>44765774.140000008</v>
      </c>
      <c r="RN20" s="524">
        <f>'Прочая  субсидия_БП'!C16</f>
        <v>27702341.359999999</v>
      </c>
      <c r="RO20" s="565">
        <f>'Прочая  субсидия_БП'!D16</f>
        <v>44765774.140000008</v>
      </c>
      <c r="RP20" s="564">
        <f>'Прочая  субсидия_БП'!E16</f>
        <v>27702341.359999999</v>
      </c>
      <c r="RQ20" s="571">
        <f>'Прочая  субсидия_БП'!F16</f>
        <v>0</v>
      </c>
      <c r="RR20" s="564">
        <f>'Прочая  субсидия_БП'!G16</f>
        <v>0</v>
      </c>
      <c r="RS20" s="487">
        <f t="shared" si="104"/>
        <v>209027469</v>
      </c>
      <c r="RT20" s="452">
        <f>'Проверочная  таблица'!SR20+'Проверочная  таблица'!RY20+'Проверочная  таблица'!SA20+'Проверочная  таблица'!SC20</f>
        <v>203754324</v>
      </c>
      <c r="RU20" s="332">
        <f>'Проверочная  таблица'!SS20+'Проверочная  таблица'!SE20+'Проверочная  таблица'!SK20+'Проверочная  таблица'!SG20+'Проверочная  таблица'!SO20+'Проверочная  таблица'!SI20+SM20</f>
        <v>5273145</v>
      </c>
      <c r="RV20" s="517">
        <f t="shared" si="105"/>
        <v>165251708.12</v>
      </c>
      <c r="RW20" s="430">
        <f>'Проверочная  таблица'!SU20+'Проверочная  таблица'!RZ20+'Проверочная  таблица'!SB20+'Проверочная  таблица'!SD20</f>
        <v>163367430</v>
      </c>
      <c r="RX20" s="332">
        <f>'Проверочная  таблица'!SV20+'Проверочная  таблица'!SF20+'Проверочная  таблица'!SL20+'Проверочная  таблица'!SH20+'Проверочная  таблица'!SP20+'Проверочная  таблица'!SJ20+SN20</f>
        <v>1884278.12</v>
      </c>
      <c r="RY20" s="559">
        <f>'Субвенция  на  полномочия'!B16</f>
        <v>187678424</v>
      </c>
      <c r="RZ20" s="454">
        <f>'Субвенция  на  полномочия'!C16</f>
        <v>151194530</v>
      </c>
      <c r="SA20" s="732">
        <f>[1]Субвенция_факт!P17*1000</f>
        <v>13246000</v>
      </c>
      <c r="SB20" s="1389">
        <v>9900000</v>
      </c>
      <c r="SC20" s="732">
        <f>[1]Субвенция_факт!K17*1000</f>
        <v>1847000</v>
      </c>
      <c r="SD20" s="1389">
        <v>1290000</v>
      </c>
      <c r="SE20" s="732">
        <f>[1]Субвенция_факт!AD17*1000</f>
        <v>1166600</v>
      </c>
      <c r="SF20" s="735">
        <v>730277.3</v>
      </c>
      <c r="SG20" s="732">
        <f>[1]Субвенция_факт!AE17*1000</f>
        <v>0</v>
      </c>
      <c r="SH20" s="735"/>
      <c r="SI20" s="732">
        <f>[1]Субвенция_факт!E17*1000</f>
        <v>2506545</v>
      </c>
      <c r="SJ20" s="735"/>
      <c r="SK20" s="732">
        <f>[1]Субвенция_факт!F17*1000</f>
        <v>0</v>
      </c>
      <c r="SL20" s="866"/>
      <c r="SM20" s="163">
        <f>[1]Субвенция_факт!G17*1000</f>
        <v>0</v>
      </c>
      <c r="SN20" s="867"/>
      <c r="SO20" s="732">
        <f>[1]Субвенция_факт!H17*1000</f>
        <v>0</v>
      </c>
      <c r="SP20" s="735"/>
      <c r="SQ20" s="524">
        <f t="shared" si="106"/>
        <v>2582900</v>
      </c>
      <c r="SR20" s="865">
        <f>[1]Субвенция_факт!AC17*1000</f>
        <v>982900</v>
      </c>
      <c r="SS20" s="1040">
        <f>[1]Субвенция_факт!AB17*1000</f>
        <v>1600000</v>
      </c>
      <c r="ST20" s="517">
        <f t="shared" si="107"/>
        <v>2136900.8200000003</v>
      </c>
      <c r="SU20" s="1503">
        <v>982900</v>
      </c>
      <c r="SV20" s="1506">
        <v>1154000.82</v>
      </c>
      <c r="SW20" s="271">
        <f>'Проверочная  таблица'!VC20+'Проверочная  таблица'!UY20+'Проверочная  таблица'!TQ20+'Проверочная  таблица'!TU20+SY20+'Проверочная  таблица'!US20+UC20+UI20</f>
        <v>0</v>
      </c>
      <c r="SX20" s="163">
        <f>'Проверочная  таблица'!VE20+'Проверочная  таблица'!VA20+'Проверочная  таблица'!TS20+'Проверочная  таблица'!TW20+TH20+'Проверочная  таблица'!UV20+UF20+UL20</f>
        <v>0</v>
      </c>
      <c r="SY20" s="1129">
        <f t="shared" si="108"/>
        <v>0</v>
      </c>
      <c r="SZ20" s="1114">
        <f>'[1]Иные межбюджетные трансферты'!O18</f>
        <v>0</v>
      </c>
      <c r="TA20" s="1111">
        <f>'[1]Иные межбюджетные трансферты'!Q18</f>
        <v>0</v>
      </c>
      <c r="TB20" s="879">
        <f>'[1]Иные межбюджетные трансферты'!I18</f>
        <v>0</v>
      </c>
      <c r="TC20" s="1111">
        <f>'[1]Иные межбюджетные трансферты'!K18</f>
        <v>0</v>
      </c>
      <c r="TD20" s="879">
        <f>'[1]Иные межбюджетные трансферты'!S18</f>
        <v>0</v>
      </c>
      <c r="TE20" s="958">
        <f>'[1]Иные межбюджетные трансферты'!U18</f>
        <v>0</v>
      </c>
      <c r="TF20" s="1236">
        <f>'[1]Иные межбюджетные трансферты'!M18</f>
        <v>0</v>
      </c>
      <c r="TG20" s="1231">
        <f>'[1]Иные межбюджетные трансферты'!W18</f>
        <v>0</v>
      </c>
      <c r="TH20" s="991">
        <f t="shared" si="109"/>
        <v>0</v>
      </c>
      <c r="TI20" s="984"/>
      <c r="TJ20" s="982"/>
      <c r="TK20" s="879"/>
      <c r="TL20" s="958"/>
      <c r="TM20" s="879"/>
      <c r="TN20" s="958"/>
      <c r="TO20" s="984"/>
      <c r="TP20" s="1269"/>
      <c r="TQ20" s="973">
        <f t="shared" si="179"/>
        <v>0</v>
      </c>
      <c r="TR20" s="1458">
        <f>'[1]Иные межбюджетные трансферты'!Y18</f>
        <v>0</v>
      </c>
      <c r="TS20" s="973">
        <f t="shared" si="179"/>
        <v>0</v>
      </c>
      <c r="TT20" s="958"/>
      <c r="TU20" s="973">
        <f t="shared" ref="TU20" si="196">TV20</f>
        <v>0</v>
      </c>
      <c r="TV20" s="958">
        <f>'[1]Иные межбюджетные трансферты'!AA18</f>
        <v>0</v>
      </c>
      <c r="TW20" s="973">
        <f t="shared" si="110"/>
        <v>0</v>
      </c>
      <c r="TX20" s="1111"/>
      <c r="TY20" s="976">
        <f t="shared" si="111"/>
        <v>0</v>
      </c>
      <c r="TZ20" s="970">
        <f t="shared" si="112"/>
        <v>0</v>
      </c>
      <c r="UA20" s="1266">
        <f t="shared" si="181"/>
        <v>0</v>
      </c>
      <c r="UB20" s="976">
        <f t="shared" si="182"/>
        <v>0</v>
      </c>
      <c r="UC20" s="973">
        <f t="shared" si="113"/>
        <v>0</v>
      </c>
      <c r="UD20" s="1272">
        <f>'[1]Иные межбюджетные трансферты'!AE18</f>
        <v>0</v>
      </c>
      <c r="UE20" s="1145">
        <f>'[1]Иные межбюджетные трансферты'!AK18</f>
        <v>0</v>
      </c>
      <c r="UF20" s="973">
        <f t="shared" si="114"/>
        <v>0</v>
      </c>
      <c r="UG20" s="958"/>
      <c r="UH20" s="958"/>
      <c r="UI20" s="973">
        <f t="shared" si="115"/>
        <v>0</v>
      </c>
      <c r="UJ20" s="1272">
        <f>'[1]Иные межбюджетные трансферты'!AG18</f>
        <v>0</v>
      </c>
      <c r="UK20" s="1145">
        <f>'[1]Иные межбюджетные трансферты'!AM18</f>
        <v>0</v>
      </c>
      <c r="UL20" s="973">
        <f t="shared" si="116"/>
        <v>0</v>
      </c>
      <c r="UM20" s="958"/>
      <c r="UN20" s="1111"/>
      <c r="UO20" s="976">
        <f t="shared" si="183"/>
        <v>0</v>
      </c>
      <c r="UP20" s="970">
        <f t="shared" si="184"/>
        <v>0</v>
      </c>
      <c r="UQ20" s="970">
        <f t="shared" si="185"/>
        <v>0</v>
      </c>
      <c r="UR20" s="1462">
        <f t="shared" si="186"/>
        <v>0</v>
      </c>
      <c r="US20" s="1263">
        <f t="shared" si="117"/>
        <v>0</v>
      </c>
      <c r="UT20" s="1040">
        <f>'[1]Иные межбюджетные трансферты'!E18</f>
        <v>0</v>
      </c>
      <c r="UU20" s="1126">
        <f>'[1]Иные межбюджетные трансферты'!G18</f>
        <v>0</v>
      </c>
      <c r="UV20" s="733">
        <f t="shared" si="118"/>
        <v>0</v>
      </c>
      <c r="UW20" s="1040"/>
      <c r="UX20" s="1126"/>
      <c r="UY20" s="880">
        <f t="shared" si="119"/>
        <v>0</v>
      </c>
      <c r="UZ20" s="958"/>
      <c r="VA20" s="1039">
        <f t="shared" si="120"/>
        <v>0</v>
      </c>
      <c r="VB20" s="890"/>
      <c r="VC20" s="510">
        <f t="shared" si="121"/>
        <v>0</v>
      </c>
      <c r="VD20" s="874">
        <f>'[1]Иные межбюджетные трансферты'!AS18</f>
        <v>0</v>
      </c>
      <c r="VE20" s="510">
        <f t="shared" si="122"/>
        <v>0</v>
      </c>
      <c r="VF20" s="513"/>
      <c r="VG20" s="886">
        <f t="shared" si="123"/>
        <v>0</v>
      </c>
      <c r="VH20" s="511">
        <f>'Проверочная  таблица'!VD20-VL20</f>
        <v>0</v>
      </c>
      <c r="VI20" s="886">
        <f t="shared" si="124"/>
        <v>0</v>
      </c>
      <c r="VJ20" s="511">
        <f>'Проверочная  таблица'!VF20-VN20</f>
        <v>0</v>
      </c>
      <c r="VK20" s="886">
        <f t="shared" si="125"/>
        <v>0</v>
      </c>
      <c r="VL20" s="874">
        <f>'[1]Иные межбюджетные трансферты'!AU18</f>
        <v>0</v>
      </c>
      <c r="VM20" s="1038">
        <f t="shared" si="126"/>
        <v>0</v>
      </c>
      <c r="VN20" s="513"/>
      <c r="VO20" s="517">
        <f>VQ20+'Проверочная  таблица'!VY20+VU20+'Проверочная  таблица'!WC20+VW20+'Проверочная  таблица'!WE20</f>
        <v>-41335000</v>
      </c>
      <c r="VP20" s="517">
        <f>VR20+'Проверочная  таблица'!VZ20+VV20+'Проверочная  таблица'!WD20+VX20+'Проверочная  таблица'!WF20</f>
        <v>-18185000</v>
      </c>
      <c r="VQ20" s="531">
        <v>7000000</v>
      </c>
      <c r="VR20" s="531">
        <v>7000000</v>
      </c>
      <c r="VS20" s="531">
        <v>4650000</v>
      </c>
      <c r="VT20" s="531">
        <v>4650000</v>
      </c>
      <c r="VU20" s="528">
        <f t="shared" si="127"/>
        <v>4650000</v>
      </c>
      <c r="VV20" s="526">
        <f t="shared" si="128"/>
        <v>4650000</v>
      </c>
      <c r="VW20" s="532"/>
      <c r="VX20" s="521"/>
      <c r="VY20" s="531">
        <f>-34535000-7000000</f>
        <v>-41535000</v>
      </c>
      <c r="VZ20" s="531">
        <v>-24035000</v>
      </c>
      <c r="WA20" s="531">
        <f>-5800000-300000-850000-4500000</f>
        <v>-11450000</v>
      </c>
      <c r="WB20" s="531">
        <v>-5800000</v>
      </c>
      <c r="WC20" s="528">
        <f t="shared" si="129"/>
        <v>-11450000</v>
      </c>
      <c r="WD20" s="526">
        <f t="shared" si="130"/>
        <v>-5800000</v>
      </c>
      <c r="WE20" s="521"/>
      <c r="WF20" s="521"/>
      <c r="WG20" s="1356">
        <f>'Проверочная  таблица'!VY20+'Проверочная  таблица'!WA20</f>
        <v>-52985000</v>
      </c>
      <c r="WH20" s="1356">
        <f>'Проверочная  таблица'!VZ20+'Проверочная  таблица'!WB20</f>
        <v>-29835000</v>
      </c>
      <c r="WI20" s="1481"/>
    </row>
    <row r="21" spans="1:607" s="329" customFormat="1" ht="25.5" customHeight="1" x14ac:dyDescent="0.3">
      <c r="A21" s="338" t="s">
        <v>97</v>
      </c>
      <c r="B21" s="524">
        <f>D21+AI21+'Проверочная  таблица'!RS21+'Проверочная  таблица'!SW21</f>
        <v>389327542.31999999</v>
      </c>
      <c r="C21" s="517">
        <f>E21+'Проверочная  таблица'!RV21+AJ21+'Проверочная  таблица'!SX21</f>
        <v>314319611.27999997</v>
      </c>
      <c r="D21" s="522">
        <f t="shared" si="0"/>
        <v>62395550</v>
      </c>
      <c r="E21" s="524">
        <f t="shared" si="1"/>
        <v>47686306</v>
      </c>
      <c r="F21" s="1062">
        <f>'[1]Дотация  из  ОБ_факт'!I17+'[1]Дотация  из  ОБ_факт'!Q17</f>
        <v>16366400</v>
      </c>
      <c r="G21" s="1366">
        <v>13999800</v>
      </c>
      <c r="H21" s="563">
        <f>'[1]Дотация  из  ОБ_факт'!K17</f>
        <v>4727500</v>
      </c>
      <c r="I21" s="1366">
        <v>3666192</v>
      </c>
      <c r="J21" s="564">
        <f t="shared" si="2"/>
        <v>4727500</v>
      </c>
      <c r="K21" s="571">
        <f t="shared" si="3"/>
        <v>3666192</v>
      </c>
      <c r="L21" s="883">
        <f>'[1]Дотация  из  ОБ_факт'!O17</f>
        <v>0</v>
      </c>
      <c r="M21" s="745"/>
      <c r="N21" s="563">
        <f>'[1]Дотация  из  ОБ_факт'!U17</f>
        <v>22929486</v>
      </c>
      <c r="O21" s="1366">
        <v>15759136</v>
      </c>
      <c r="P21" s="784">
        <f>'[1]Дотация  из  ОБ_факт'!W17</f>
        <v>17784400</v>
      </c>
      <c r="Q21" s="1366">
        <v>13673414</v>
      </c>
      <c r="R21" s="571">
        <f t="shared" si="4"/>
        <v>17784400</v>
      </c>
      <c r="S21" s="564">
        <f t="shared" si="5"/>
        <v>13673414</v>
      </c>
      <c r="T21" s="1059">
        <f>'[1]Дотация  из  ОБ_факт'!AA17</f>
        <v>0</v>
      </c>
      <c r="U21" s="331"/>
      <c r="V21" s="784">
        <f>'[1]Дотация  из  ОБ_факт'!AE17+'[1]Дотация  из  ОБ_факт'!AG17+'[1]Дотация  из  ОБ_факт'!AK17</f>
        <v>587764</v>
      </c>
      <c r="W21" s="163">
        <f t="shared" si="6"/>
        <v>587764</v>
      </c>
      <c r="X21" s="567"/>
      <c r="Y21" s="566"/>
      <c r="Z21" s="567">
        <v>587764</v>
      </c>
      <c r="AA21" s="563">
        <f>'[1]Дотация  из  ОБ_факт'!AC17+'[1]Дотация  из  ОБ_факт'!AI17</f>
        <v>0</v>
      </c>
      <c r="AB21" s="165">
        <f t="shared" si="7"/>
        <v>0</v>
      </c>
      <c r="AC21" s="566"/>
      <c r="AD21" s="567"/>
      <c r="AE21" s="564">
        <f t="shared" si="8"/>
        <v>0</v>
      </c>
      <c r="AF21" s="571">
        <f t="shared" si="9"/>
        <v>0</v>
      </c>
      <c r="AG21" s="565">
        <f>'[1]Дотация  из  ОБ_факт'!AI17</f>
        <v>0</v>
      </c>
      <c r="AH21" s="1370">
        <f t="shared" si="131"/>
        <v>0</v>
      </c>
      <c r="AI21" s="559">
        <f>'Проверочная  таблица'!KI21+NU21+OA21+'Проверочная  таблица'!RK21+'Проверочная  таблица'!RM21+DE21+DG21+DM21+DO21+'Проверочная  таблица'!MY21+'Проверочная  таблица'!NC21+CG21+CQ21+'Проверочная  таблица'!HE21+'Проверочная  таблица'!HW21+'Проверочная  таблица'!ES21+'Проверочная  таблица'!JY21+DU21+'Проверочная  таблица'!GA21+'Проверочная  таблица'!GG21+'Проверочная  таблица'!LG21+'Проверочная  таблица'!LU21+FU21+'Проверочная  таблица'!KU21+RI21+OS21+PG21+EK21+AK21+AW21+FO21+FE21+GY21+EY21</f>
        <v>153253411.31999999</v>
      </c>
      <c r="AJ21" s="487">
        <f>'Проверочная  таблица'!KO21+NX21+OD21+'Проверочная  таблица'!RL21+'Проверочная  таблица'!RN21+DF21+DH21+DN21+DP21+'Проверочная  таблица'!NA21+'Проверочная  таблица'!NF21+CL21+CV21+'Проверочная  таблица'!HN21+'Проверочная  таблица'!IF21+'Проверочная  таблица'!EV21+'Проверочная  таблица'!KD21+EC21+'Проверочная  таблица'!GD21+'Проверочная  таблица'!GJ21+'Проверочная  таблица'!LN21+'Проверочная  таблица'!LZ21+FX21+'Проверочная  таблица'!KY21+FR21+RJ21+PP21+OZ21+EM21+AQ21+BC21+FJ21+HB21+FB21</f>
        <v>122823792.39000002</v>
      </c>
      <c r="AK21" s="487">
        <f t="shared" si="10"/>
        <v>20314851</v>
      </c>
      <c r="AL21" s="332">
        <f>[1]Субсидия_факт!CO19</f>
        <v>0</v>
      </c>
      <c r="AM21" s="523">
        <f>[1]Субсидия_факт!FK19</f>
        <v>20314851</v>
      </c>
      <c r="AN21" s="498">
        <f>[1]Субсидия_факт!FW19</f>
        <v>0</v>
      </c>
      <c r="AO21" s="523">
        <f>[1]Субсидия_факт!KA19</f>
        <v>0</v>
      </c>
      <c r="AP21" s="332">
        <f>[1]Субсидия_факт!LE19</f>
        <v>0</v>
      </c>
      <c r="AQ21" s="487">
        <f t="shared" si="11"/>
        <v>20314851</v>
      </c>
      <c r="AR21" s="462"/>
      <c r="AS21" s="1479">
        <f>AM21</f>
        <v>20314851</v>
      </c>
      <c r="AT21" s="462"/>
      <c r="AU21" s="462"/>
      <c r="AV21" s="462"/>
      <c r="AW21" s="487">
        <f t="shared" si="132"/>
        <v>0</v>
      </c>
      <c r="AX21" s="452">
        <f>[1]Субсидия_факт!CQ19</f>
        <v>0</v>
      </c>
      <c r="AY21" s="332">
        <f>[1]Субсидия_факт!FO19</f>
        <v>0</v>
      </c>
      <c r="AZ21" s="476">
        <f>[1]Субсидия_факт!JK19</f>
        <v>0</v>
      </c>
      <c r="BA21" s="496">
        <f>[1]Субсидия_факт!KC19</f>
        <v>0</v>
      </c>
      <c r="BB21" s="498">
        <f>[1]Субсидия_факт!LG19</f>
        <v>0</v>
      </c>
      <c r="BC21" s="487">
        <f t="shared" si="133"/>
        <v>0</v>
      </c>
      <c r="BD21" s="529"/>
      <c r="BE21" s="529"/>
      <c r="BF21" s="333"/>
      <c r="BG21" s="530"/>
      <c r="BH21" s="529"/>
      <c r="BI21" s="657">
        <f t="shared" si="134"/>
        <v>0</v>
      </c>
      <c r="BJ21" s="1025">
        <f t="shared" si="12"/>
        <v>0</v>
      </c>
      <c r="BK21" s="452">
        <f t="shared" si="13"/>
        <v>0</v>
      </c>
      <c r="BL21" s="452">
        <f t="shared" si="14"/>
        <v>0</v>
      </c>
      <c r="BM21" s="332">
        <f t="shared" si="15"/>
        <v>0</v>
      </c>
      <c r="BN21" s="488">
        <f t="shared" si="16"/>
        <v>0</v>
      </c>
      <c r="BO21" s="657">
        <f t="shared" si="135"/>
        <v>0</v>
      </c>
      <c r="BP21" s="607">
        <f t="shared" si="17"/>
        <v>0</v>
      </c>
      <c r="BQ21" s="496">
        <f t="shared" si="18"/>
        <v>0</v>
      </c>
      <c r="BR21" s="332">
        <f t="shared" si="19"/>
        <v>0</v>
      </c>
      <c r="BS21" s="430">
        <f t="shared" si="20"/>
        <v>0</v>
      </c>
      <c r="BT21" s="332">
        <f t="shared" si="21"/>
        <v>0</v>
      </c>
      <c r="BU21" s="657">
        <f t="shared" si="136"/>
        <v>0</v>
      </c>
      <c r="BV21" s="452">
        <f>[1]Субсидия_факт!CS19</f>
        <v>0</v>
      </c>
      <c r="BW21" s="332">
        <f>[1]Субсидия_факт!FQ19</f>
        <v>0</v>
      </c>
      <c r="BX21" s="476">
        <f>[1]Субсидия_факт!JM19</f>
        <v>0</v>
      </c>
      <c r="BY21" s="430">
        <f>[1]Субсидия_факт!KE19</f>
        <v>0</v>
      </c>
      <c r="BZ21" s="332">
        <f>[1]Субсидия_факт!LI19</f>
        <v>0</v>
      </c>
      <c r="CA21" s="659">
        <f t="shared" si="137"/>
        <v>0</v>
      </c>
      <c r="CB21" s="782"/>
      <c r="CC21" s="529"/>
      <c r="CD21" s="462"/>
      <c r="CE21" s="529"/>
      <c r="CF21" s="529"/>
      <c r="CG21" s="517">
        <f t="shared" si="22"/>
        <v>14816681</v>
      </c>
      <c r="CH21" s="430">
        <f>[1]Субсидия_факт!LM19</f>
        <v>0</v>
      </c>
      <c r="CI21" s="452">
        <f>[1]Субсидия_факт!LS19</f>
        <v>14816681</v>
      </c>
      <c r="CJ21" s="332">
        <f>[1]Субсидия_факт!ME19</f>
        <v>0</v>
      </c>
      <c r="CK21" s="511">
        <f>[1]Субсидия_факт!MK19</f>
        <v>0</v>
      </c>
      <c r="CL21" s="517">
        <f t="shared" si="23"/>
        <v>13850413.48</v>
      </c>
      <c r="CM21" s="529"/>
      <c r="CN21" s="529">
        <v>13850413.48</v>
      </c>
      <c r="CO21" s="529"/>
      <c r="CP21" s="610"/>
      <c r="CQ21" s="517">
        <f t="shared" si="24"/>
        <v>0</v>
      </c>
      <c r="CR21" s="452">
        <f>[1]Субсидия_факт!LO19</f>
        <v>0</v>
      </c>
      <c r="CS21" s="452">
        <f>[1]Субсидия_факт!LU19</f>
        <v>0</v>
      </c>
      <c r="CT21" s="332">
        <f>[1]Субсидия_факт!MG19</f>
        <v>0</v>
      </c>
      <c r="CU21" s="511">
        <f>[1]Субсидия_факт!MM19</f>
        <v>0</v>
      </c>
      <c r="CV21" s="517">
        <f t="shared" si="25"/>
        <v>0</v>
      </c>
      <c r="CW21" s="529"/>
      <c r="CX21" s="530"/>
      <c r="CY21" s="782"/>
      <c r="CZ21" s="719"/>
      <c r="DA21" s="528">
        <f t="shared" si="138"/>
        <v>0</v>
      </c>
      <c r="DB21" s="526">
        <f t="shared" si="139"/>
        <v>0</v>
      </c>
      <c r="DC21" s="525">
        <f t="shared" si="140"/>
        <v>0</v>
      </c>
      <c r="DD21" s="528">
        <f t="shared" si="141"/>
        <v>0</v>
      </c>
      <c r="DE21" s="524">
        <f>[1]Субсидия_факт!GC19</f>
        <v>0</v>
      </c>
      <c r="DF21" s="330"/>
      <c r="DG21" s="522">
        <f>[1]Субсидия_факт!GE19</f>
        <v>0</v>
      </c>
      <c r="DH21" s="330"/>
      <c r="DI21" s="757">
        <f t="shared" si="142"/>
        <v>0</v>
      </c>
      <c r="DJ21" s="570">
        <f t="shared" si="143"/>
        <v>0</v>
      </c>
      <c r="DK21" s="757">
        <f>[1]Субсидия_факт!GG19</f>
        <v>0</v>
      </c>
      <c r="DL21" s="1387">
        <f t="shared" si="144"/>
        <v>0</v>
      </c>
      <c r="DM21" s="516">
        <f>[1]Субсидия_факт!GI19</f>
        <v>0</v>
      </c>
      <c r="DN21" s="604"/>
      <c r="DO21" s="517">
        <f>[1]Субсидия_факт!GK19</f>
        <v>0</v>
      </c>
      <c r="DP21" s="604"/>
      <c r="DQ21" s="526">
        <f t="shared" si="28"/>
        <v>0</v>
      </c>
      <c r="DR21" s="526">
        <f t="shared" si="29"/>
        <v>0</v>
      </c>
      <c r="DS21" s="653">
        <f t="shared" si="30"/>
        <v>0</v>
      </c>
      <c r="DT21" s="1385">
        <f t="shared" si="145"/>
        <v>0</v>
      </c>
      <c r="DU21" s="517">
        <f t="shared" si="31"/>
        <v>0</v>
      </c>
      <c r="DV21" s="523">
        <f>[1]Субсидия_факт!E19</f>
        <v>0</v>
      </c>
      <c r="DW21" s="1025">
        <f>[1]Субсидия_факт!G19</f>
        <v>0</v>
      </c>
      <c r="DX21" s="678">
        <f>[1]Субсидия_факт!I19</f>
        <v>0</v>
      </c>
      <c r="DY21" s="636">
        <f>[1]Субсидия_факт!K19</f>
        <v>0</v>
      </c>
      <c r="DZ21" s="786">
        <f>[1]Субсидия_факт!M19</f>
        <v>0</v>
      </c>
      <c r="EA21" s="498">
        <f>[1]Субсидия_факт!O19</f>
        <v>0</v>
      </c>
      <c r="EB21" s="636">
        <f>[1]Субсидия_факт!Q19</f>
        <v>0</v>
      </c>
      <c r="EC21" s="516">
        <f t="shared" si="32"/>
        <v>0</v>
      </c>
      <c r="ED21" s="530"/>
      <c r="EE21" s="529"/>
      <c r="EF21" s="682"/>
      <c r="EG21" s="529"/>
      <c r="EH21" s="682"/>
      <c r="EI21" s="530"/>
      <c r="EJ21" s="607">
        <f t="shared" si="146"/>
        <v>0</v>
      </c>
      <c r="EK21" s="516">
        <f t="shared" si="147"/>
        <v>0</v>
      </c>
      <c r="EL21" s="1223">
        <f>[1]Субсидия_факт!S19</f>
        <v>0</v>
      </c>
      <c r="EM21" s="524">
        <f t="shared" si="147"/>
        <v>0</v>
      </c>
      <c r="EN21" s="607">
        <f t="shared" si="148"/>
        <v>0</v>
      </c>
      <c r="EO21" s="570">
        <f t="shared" si="149"/>
        <v>0</v>
      </c>
      <c r="EP21" s="633">
        <f t="shared" si="150"/>
        <v>0</v>
      </c>
      <c r="EQ21" s="633">
        <f>[1]Субсидия_факт!U19</f>
        <v>0</v>
      </c>
      <c r="ER21" s="1245">
        <f t="shared" si="151"/>
        <v>0</v>
      </c>
      <c r="ES21" s="487">
        <f t="shared" si="33"/>
        <v>0</v>
      </c>
      <c r="ET21" s="511">
        <f>[1]Субсидия_факт!AU19</f>
        <v>0</v>
      </c>
      <c r="EU21" s="890">
        <f>[1]Субсидия_факт!AW19</f>
        <v>0</v>
      </c>
      <c r="EV21" s="454">
        <f t="shared" si="34"/>
        <v>0</v>
      </c>
      <c r="EW21" s="777"/>
      <c r="EX21" s="1095"/>
      <c r="EY21" s="487">
        <f t="shared" si="35"/>
        <v>0</v>
      </c>
      <c r="EZ21" s="511">
        <f>[1]Субсидия_факт!FY19</f>
        <v>0</v>
      </c>
      <c r="FA21" s="890">
        <f>[1]Субсидия_факт!GA19</f>
        <v>0</v>
      </c>
      <c r="FB21" s="454">
        <f t="shared" si="36"/>
        <v>0</v>
      </c>
      <c r="FC21" s="777"/>
      <c r="FD21" s="1095"/>
      <c r="FE21" s="517">
        <f t="shared" si="152"/>
        <v>2864400</v>
      </c>
      <c r="FF21" s="430">
        <f>[1]Субсидия_факт!W19</f>
        <v>143220</v>
      </c>
      <c r="FG21" s="931">
        <f>[1]Субсидия_факт!Y19</f>
        <v>2721180</v>
      </c>
      <c r="FH21" s="452">
        <f>[1]Субсидия_факт!AA19</f>
        <v>0</v>
      </c>
      <c r="FI21" s="686">
        <f>[1]Субсидия_факт!AC19</f>
        <v>0</v>
      </c>
      <c r="FJ21" s="516">
        <f t="shared" si="153"/>
        <v>0</v>
      </c>
      <c r="FK21" s="462"/>
      <c r="FL21" s="682"/>
      <c r="FM21" s="462"/>
      <c r="FN21" s="682"/>
      <c r="FO21" s="487">
        <f t="shared" si="37"/>
        <v>0</v>
      </c>
      <c r="FP21" s="511">
        <f>[1]Субсидия_факт!AY19</f>
        <v>0</v>
      </c>
      <c r="FQ21" s="890">
        <f>[1]Субсидия_факт!BA19</f>
        <v>0</v>
      </c>
      <c r="FR21" s="454">
        <f t="shared" si="38"/>
        <v>0</v>
      </c>
      <c r="FS21" s="777"/>
      <c r="FT21" s="673"/>
      <c r="FU21" s="524">
        <f t="shared" si="154"/>
        <v>0</v>
      </c>
      <c r="FV21" s="498">
        <f>[1]Субсидия_факт!EE19</f>
        <v>0</v>
      </c>
      <c r="FW21" s="686">
        <f>[1]Субсидия_факт!EG19</f>
        <v>0</v>
      </c>
      <c r="FX21" s="517">
        <f t="shared" si="155"/>
        <v>0</v>
      </c>
      <c r="FY21" s="529"/>
      <c r="FZ21" s="704"/>
      <c r="GA21" s="559">
        <f t="shared" si="41"/>
        <v>1000000</v>
      </c>
      <c r="GB21" s="511">
        <f>[1]Субсидия_факт!DS19</f>
        <v>280001.38</v>
      </c>
      <c r="GC21" s="890">
        <f>[1]Субсидия_факт!DY19</f>
        <v>719998.62</v>
      </c>
      <c r="GD21" s="454">
        <f t="shared" si="42"/>
        <v>1000000</v>
      </c>
      <c r="GE21" s="1290">
        <f t="shared" ref="GE21:GF23" si="197">GB21</f>
        <v>280001.38</v>
      </c>
      <c r="GF21" s="671">
        <f t="shared" si="197"/>
        <v>719998.62</v>
      </c>
      <c r="GG21" s="454">
        <f t="shared" si="43"/>
        <v>348234</v>
      </c>
      <c r="GH21" s="511">
        <f>[1]Субсидия_факт!DU19</f>
        <v>97506</v>
      </c>
      <c r="GI21" s="751">
        <f>[1]Субсидия_факт!EA19</f>
        <v>250728</v>
      </c>
      <c r="GJ21" s="454">
        <f t="shared" si="44"/>
        <v>348234</v>
      </c>
      <c r="GK21" s="756">
        <f>GH21</f>
        <v>97506</v>
      </c>
      <c r="GL21" s="810">
        <f>GI21</f>
        <v>250728</v>
      </c>
      <c r="GM21" s="659">
        <f t="shared" si="45"/>
        <v>348234</v>
      </c>
      <c r="GN21" s="749">
        <f>'Проверочная  таблица'!GH21-'Проверочная  таблица'!GT21</f>
        <v>97506</v>
      </c>
      <c r="GO21" s="671">
        <f>'Проверочная  таблица'!GI21-'Проверочная  таблица'!GU21</f>
        <v>250728</v>
      </c>
      <c r="GP21" s="653">
        <f t="shared" si="46"/>
        <v>348234</v>
      </c>
      <c r="GQ21" s="756">
        <f>'Проверочная  таблица'!GK21-'Проверочная  таблица'!GW21</f>
        <v>97506</v>
      </c>
      <c r="GR21" s="768">
        <f>'Проверочная  таблица'!GL21-'Проверочная  таблица'!GX21</f>
        <v>250728</v>
      </c>
      <c r="GS21" s="659">
        <f t="shared" si="47"/>
        <v>0</v>
      </c>
      <c r="GT21" s="511">
        <f>[1]Субсидия_факт!DW19</f>
        <v>0</v>
      </c>
      <c r="GU21" s="890">
        <f>[1]Субсидия_факт!EC19</f>
        <v>0</v>
      </c>
      <c r="GV21" s="659">
        <f t="shared" si="48"/>
        <v>0</v>
      </c>
      <c r="GW21" s="511"/>
      <c r="GX21" s="751"/>
      <c r="GY21" s="454">
        <f t="shared" si="49"/>
        <v>0</v>
      </c>
      <c r="GZ21" s="756">
        <f>[1]Субсидия_факт!AE19</f>
        <v>0</v>
      </c>
      <c r="HA21" s="671">
        <f>[1]Субсидия_факт!AG19</f>
        <v>0</v>
      </c>
      <c r="HB21" s="454">
        <f t="shared" si="50"/>
        <v>0</v>
      </c>
      <c r="HC21" s="756"/>
      <c r="HD21" s="671"/>
      <c r="HE21" s="747">
        <f t="shared" si="51"/>
        <v>8073.67</v>
      </c>
      <c r="HF21" s="756">
        <f>[1]Субсидия_факт!BW19</f>
        <v>0</v>
      </c>
      <c r="HG21" s="671">
        <f>[1]Субсидия_факт!CC19</f>
        <v>0</v>
      </c>
      <c r="HH21" s="511">
        <f>[1]Субсидия_факт!CU19</f>
        <v>7246.38</v>
      </c>
      <c r="HI21" s="890">
        <f>[1]Субсидия_факт!DA19</f>
        <v>827.29</v>
      </c>
      <c r="HJ21" s="511">
        <f>[1]Субсидия_факт!DG19</f>
        <v>0</v>
      </c>
      <c r="HK21" s="890">
        <f>[1]Субсидия_факт!DM19</f>
        <v>0</v>
      </c>
      <c r="HL21" s="511">
        <f>[1]Субсидия_факт!EI19</f>
        <v>0</v>
      </c>
      <c r="HM21" s="751">
        <f>[1]Субсидия_факт!EO19</f>
        <v>0</v>
      </c>
      <c r="HN21" s="747">
        <f t="shared" si="52"/>
        <v>8073.67</v>
      </c>
      <c r="HO21" s="610"/>
      <c r="HP21" s="673"/>
      <c r="HQ21" s="756">
        <f t="shared" si="156"/>
        <v>7246.38</v>
      </c>
      <c r="HR21" s="768">
        <f t="shared" si="188"/>
        <v>827.29</v>
      </c>
      <c r="HS21" s="756">
        <f t="shared" si="157"/>
        <v>0</v>
      </c>
      <c r="HT21" s="1480">
        <f t="shared" si="158"/>
        <v>0</v>
      </c>
      <c r="HU21" s="610"/>
      <c r="HV21" s="673"/>
      <c r="HW21" s="747">
        <f t="shared" si="53"/>
        <v>0</v>
      </c>
      <c r="HX21" s="756">
        <f>[1]Субсидия_факт!BY19</f>
        <v>0</v>
      </c>
      <c r="HY21" s="671">
        <f>[1]Субсидия_факт!CE19</f>
        <v>0</v>
      </c>
      <c r="HZ21" s="511">
        <f>[1]Субсидия_факт!CW19</f>
        <v>0</v>
      </c>
      <c r="IA21" s="751">
        <f>[1]Субсидия_факт!DC19</f>
        <v>0</v>
      </c>
      <c r="IB21" s="511">
        <f>[1]Субсидия_факт!DI19</f>
        <v>0</v>
      </c>
      <c r="IC21" s="890">
        <f>[1]Субсидия_факт!DO19</f>
        <v>0</v>
      </c>
      <c r="ID21" s="511">
        <f>[1]Субсидия_факт!EK19</f>
        <v>0</v>
      </c>
      <c r="IE21" s="751">
        <f>[1]Субсидия_факт!EQ19</f>
        <v>0</v>
      </c>
      <c r="IF21" s="747">
        <f t="shared" si="54"/>
        <v>0</v>
      </c>
      <c r="IG21" s="610"/>
      <c r="IH21" s="673"/>
      <c r="II21" s="749">
        <f t="shared" si="159"/>
        <v>0</v>
      </c>
      <c r="IJ21" s="671">
        <f t="shared" si="160"/>
        <v>0</v>
      </c>
      <c r="IK21" s="777"/>
      <c r="IL21" s="673"/>
      <c r="IM21" s="610"/>
      <c r="IN21" s="673"/>
      <c r="IO21" s="750">
        <f t="shared" si="55"/>
        <v>0</v>
      </c>
      <c r="IP21" s="756">
        <f>'Проверочная  таблица'!HX21-JH21</f>
        <v>0</v>
      </c>
      <c r="IQ21" s="671">
        <f>'Проверочная  таблица'!HY21-JI21</f>
        <v>0</v>
      </c>
      <c r="IR21" s="756">
        <f>'Проверочная  таблица'!HZ21-JJ21</f>
        <v>0</v>
      </c>
      <c r="IS21" s="671">
        <f>'Проверочная  таблица'!IA21-JK21</f>
        <v>0</v>
      </c>
      <c r="IT21" s="749">
        <f>'Проверочная  таблица'!IB21-JL21</f>
        <v>0</v>
      </c>
      <c r="IU21" s="671">
        <f>'Проверочная  таблица'!IC21-JM21</f>
        <v>0</v>
      </c>
      <c r="IV21" s="756">
        <f>'Проверочная  таблица'!ID21-JN21</f>
        <v>0</v>
      </c>
      <c r="IW21" s="671">
        <f>'Проверочная  таблица'!IE21-JO21</f>
        <v>0</v>
      </c>
      <c r="IX21" s="750">
        <f t="shared" si="56"/>
        <v>0</v>
      </c>
      <c r="IY21" s="756">
        <f>'Проверочная  таблица'!IG21-JQ21</f>
        <v>0</v>
      </c>
      <c r="IZ21" s="810">
        <f>'Проверочная  таблица'!IH21-JR21</f>
        <v>0</v>
      </c>
      <c r="JA21" s="756">
        <f>'Проверочная  таблица'!II21-JS21</f>
        <v>0</v>
      </c>
      <c r="JB21" s="768">
        <f>'Проверочная  таблица'!IJ21-JT21</f>
        <v>0</v>
      </c>
      <c r="JC21" s="756">
        <f>'Проверочная  таблица'!IK21-JU21</f>
        <v>0</v>
      </c>
      <c r="JD21" s="768">
        <f>'Проверочная  таблица'!IL21-JV21</f>
        <v>0</v>
      </c>
      <c r="JE21" s="756">
        <f>'Проверочная  таблица'!IM21-JW21</f>
        <v>0</v>
      </c>
      <c r="JF21" s="768">
        <f>'Проверочная  таблица'!IN21-JX21</f>
        <v>0</v>
      </c>
      <c r="JG21" s="659">
        <f t="shared" si="57"/>
        <v>0</v>
      </c>
      <c r="JH21" s="756">
        <f>[1]Субсидия_факт!CA19</f>
        <v>0</v>
      </c>
      <c r="JI21" s="671">
        <f>[1]Субсидия_факт!CG19</f>
        <v>0</v>
      </c>
      <c r="JJ21" s="511">
        <f>[1]Субсидия_факт!CY19</f>
        <v>0</v>
      </c>
      <c r="JK21" s="751">
        <f>[1]Субсидия_факт!DE19</f>
        <v>0</v>
      </c>
      <c r="JL21" s="511">
        <f>[1]Субсидия_факт!DK19</f>
        <v>0</v>
      </c>
      <c r="JM21" s="890">
        <f>[1]Субсидия_факт!DQ19</f>
        <v>0</v>
      </c>
      <c r="JN21" s="511">
        <f>[1]Субсидия_факт!EM19</f>
        <v>0</v>
      </c>
      <c r="JO21" s="751">
        <f>[1]Субсидия_факт!ES19</f>
        <v>0</v>
      </c>
      <c r="JP21" s="750">
        <f t="shared" si="58"/>
        <v>0</v>
      </c>
      <c r="JQ21" s="610"/>
      <c r="JR21" s="673"/>
      <c r="JS21" s="513"/>
      <c r="JT21" s="788"/>
      <c r="JU21" s="513"/>
      <c r="JV21" s="885"/>
      <c r="JW21" s="610"/>
      <c r="JX21" s="673"/>
      <c r="JY21" s="454">
        <f t="shared" si="161"/>
        <v>0</v>
      </c>
      <c r="JZ21" s="511">
        <f>[1]Субсидия_факт!BC19</f>
        <v>0</v>
      </c>
      <c r="KA21" s="890">
        <f>[1]Субсидия_факт!BE19</f>
        <v>0</v>
      </c>
      <c r="KB21" s="511">
        <f>[1]Субсидия_факт!BG19</f>
        <v>0</v>
      </c>
      <c r="KC21" s="890">
        <f>[1]Субсидия_факт!BI19</f>
        <v>0</v>
      </c>
      <c r="KD21" s="454">
        <f t="shared" si="162"/>
        <v>0</v>
      </c>
      <c r="KE21" s="610"/>
      <c r="KF21" s="673"/>
      <c r="KG21" s="610"/>
      <c r="KH21" s="673"/>
      <c r="KI21" s="524">
        <f t="shared" si="59"/>
        <v>0</v>
      </c>
      <c r="KJ21" s="511">
        <f>[1]Субсидия_факт!HO19</f>
        <v>0</v>
      </c>
      <c r="KK21" s="523">
        <f>[1]Субсидия_факт!HQ19</f>
        <v>0</v>
      </c>
      <c r="KL21" s="686">
        <f>[1]Субсидия_факт!HS19</f>
        <v>0</v>
      </c>
      <c r="KM21" s="636">
        <f>[1]Субсидия_факт!IC19</f>
        <v>0</v>
      </c>
      <c r="KN21" s="686">
        <f>[1]Субсидия_факт!IE19</f>
        <v>0</v>
      </c>
      <c r="KO21" s="487">
        <f t="shared" si="163"/>
        <v>0</v>
      </c>
      <c r="KP21" s="756">
        <f t="shared" si="164"/>
        <v>0</v>
      </c>
      <c r="KQ21" s="333"/>
      <c r="KR21" s="682"/>
      <c r="KS21" s="462"/>
      <c r="KT21" s="682"/>
      <c r="KU21" s="454">
        <f t="shared" si="60"/>
        <v>0</v>
      </c>
      <c r="KV21" s="513">
        <f>[1]Субсидия_факт!HY19</f>
        <v>0</v>
      </c>
      <c r="KW21" s="513">
        <f>[1]Субсидия_факт!HU19</f>
        <v>0</v>
      </c>
      <c r="KX21" s="751">
        <f>[1]Субсидия_факт!HW19</f>
        <v>0</v>
      </c>
      <c r="KY21" s="454">
        <f t="shared" si="61"/>
        <v>0</v>
      </c>
      <c r="KZ21" s="756">
        <f t="shared" si="165"/>
        <v>0</v>
      </c>
      <c r="LA21" s="610"/>
      <c r="LB21" s="673"/>
      <c r="LC21" s="886">
        <f t="shared" si="62"/>
        <v>0</v>
      </c>
      <c r="LD21" s="886">
        <f t="shared" si="63"/>
        <v>0</v>
      </c>
      <c r="LE21" s="657">
        <f t="shared" si="64"/>
        <v>0</v>
      </c>
      <c r="LF21" s="1038">
        <f t="shared" si="65"/>
        <v>0</v>
      </c>
      <c r="LG21" s="753">
        <f t="shared" si="166"/>
        <v>0</v>
      </c>
      <c r="LH21" s="511">
        <f>[1]Субсидия_факт!OG19</f>
        <v>0</v>
      </c>
      <c r="LI21" s="890">
        <f>[1]Субсидия_факт!OM19</f>
        <v>0</v>
      </c>
      <c r="LJ21" s="511">
        <f>[1]Субсидия_факт!OS19</f>
        <v>0</v>
      </c>
      <c r="LK21" s="890">
        <f>[1]Субсидия_факт!OY19</f>
        <v>0</v>
      </c>
      <c r="LL21" s="756">
        <f>[1]Субсидия_факт!PE19</f>
        <v>0</v>
      </c>
      <c r="LM21" s="768">
        <f>[1]Субсидия_факт!PI19</f>
        <v>0</v>
      </c>
      <c r="LN21" s="753">
        <f t="shared" si="66"/>
        <v>0</v>
      </c>
      <c r="LO21" s="777"/>
      <c r="LP21" s="673"/>
      <c r="LQ21" s="610"/>
      <c r="LR21" s="776"/>
      <c r="LS21" s="610"/>
      <c r="LT21" s="776"/>
      <c r="LU21" s="753">
        <f t="shared" si="67"/>
        <v>0</v>
      </c>
      <c r="LV21" s="511">
        <f>[1]Субсидия_факт!OI19</f>
        <v>0</v>
      </c>
      <c r="LW21" s="890">
        <f>[1]Субсидия_факт!OO19</f>
        <v>0</v>
      </c>
      <c r="LX21" s="513">
        <f>[1]Субсидия_факт!OU19</f>
        <v>0</v>
      </c>
      <c r="LY21" s="751">
        <f>[1]Субсидия_факт!PA19</f>
        <v>0</v>
      </c>
      <c r="LZ21" s="754">
        <f t="shared" si="68"/>
        <v>0</v>
      </c>
      <c r="MA21" s="610"/>
      <c r="MB21" s="776"/>
      <c r="MC21" s="610"/>
      <c r="MD21" s="673"/>
      <c r="ME21" s="652">
        <f t="shared" si="69"/>
        <v>0</v>
      </c>
      <c r="MF21" s="642">
        <f>'Проверочная  таблица'!LV21-MP21</f>
        <v>0</v>
      </c>
      <c r="MG21" s="678">
        <f>'Проверочная  таблица'!LW21-MQ21</f>
        <v>0</v>
      </c>
      <c r="MH21" s="765">
        <f>'Проверочная  таблица'!LY21-MR21</f>
        <v>0</v>
      </c>
      <c r="MI21" s="607">
        <f>'Проверочная  таблица'!LX21-MS21</f>
        <v>0</v>
      </c>
      <c r="MJ21" s="755">
        <f t="shared" si="70"/>
        <v>0</v>
      </c>
      <c r="MK21" s="749">
        <f>'Проверочная  таблица'!MA21-MU21</f>
        <v>0</v>
      </c>
      <c r="ML21" s="671">
        <f>'Проверочная  таблица'!MB21-MV21</f>
        <v>0</v>
      </c>
      <c r="MM21" s="768">
        <f>'Проверочная  таблица'!MD21-MW21</f>
        <v>0</v>
      </c>
      <c r="MN21" s="756">
        <f>'Проверочная  таблица'!MC21-MX21</f>
        <v>0</v>
      </c>
      <c r="MO21" s="779">
        <f t="shared" si="71"/>
        <v>0</v>
      </c>
      <c r="MP21" s="511">
        <f>[1]Субсидия_факт!OK19</f>
        <v>0</v>
      </c>
      <c r="MQ21" s="890">
        <f>[1]Субсидия_факт!OQ19</f>
        <v>0</v>
      </c>
      <c r="MR21" s="890">
        <f>[1]Субсидия_факт!PC19</f>
        <v>0</v>
      </c>
      <c r="MS21" s="511">
        <f>[1]Субсидия_факт!OW19</f>
        <v>0</v>
      </c>
      <c r="MT21" s="755">
        <f t="shared" si="72"/>
        <v>0</v>
      </c>
      <c r="MU21" s="749">
        <f t="shared" si="167"/>
        <v>0</v>
      </c>
      <c r="MV21" s="671">
        <f t="shared" si="168"/>
        <v>0</v>
      </c>
      <c r="MW21" s="768">
        <f t="shared" si="169"/>
        <v>0</v>
      </c>
      <c r="MX21" s="756">
        <f t="shared" si="73"/>
        <v>0</v>
      </c>
      <c r="MY21" s="524">
        <f>SUM('Проверочная  таблица'!MZ21:MZ21)</f>
        <v>0</v>
      </c>
      <c r="MZ21" s="333"/>
      <c r="NA21" s="524">
        <f>SUM('Проверочная  таблица'!NB21:NB21)</f>
        <v>0</v>
      </c>
      <c r="NB21" s="462"/>
      <c r="NC21" s="524">
        <f t="shared" si="74"/>
        <v>0</v>
      </c>
      <c r="ND21" s="452">
        <f>[1]Субсидия_факт!IU19</f>
        <v>0</v>
      </c>
      <c r="NE21" s="686">
        <f>[1]Субсидия_факт!IY19</f>
        <v>0</v>
      </c>
      <c r="NF21" s="517">
        <f t="shared" si="75"/>
        <v>0</v>
      </c>
      <c r="NG21" s="529"/>
      <c r="NH21" s="774"/>
      <c r="NI21" s="570">
        <f t="shared" si="76"/>
        <v>0</v>
      </c>
      <c r="NJ21" s="1000">
        <f>'Проверочная  таблица'!ND21-NP21</f>
        <v>0</v>
      </c>
      <c r="NK21" s="678">
        <f>'Проверочная  таблица'!NE21-NQ21</f>
        <v>0</v>
      </c>
      <c r="NL21" s="570">
        <f t="shared" si="77"/>
        <v>0</v>
      </c>
      <c r="NM21" s="476">
        <f>'Проверочная  таблица'!NG21-NS21</f>
        <v>0</v>
      </c>
      <c r="NN21" s="678">
        <f>'Проверочная  таблица'!NH21-NT21</f>
        <v>0</v>
      </c>
      <c r="NO21" s="633">
        <f t="shared" si="78"/>
        <v>0</v>
      </c>
      <c r="NP21" s="452">
        <f>[1]Субсидия_факт!IW19</f>
        <v>0</v>
      </c>
      <c r="NQ21" s="686">
        <f>[1]Субсидия_факт!JA19</f>
        <v>0</v>
      </c>
      <c r="NR21" s="570">
        <f t="shared" si="79"/>
        <v>0</v>
      </c>
      <c r="NS21" s="476"/>
      <c r="NT21" s="710"/>
      <c r="NU21" s="517">
        <f t="shared" si="170"/>
        <v>0</v>
      </c>
      <c r="NV21" s="332">
        <f>[1]Субсидия_факт!FA19</f>
        <v>0</v>
      </c>
      <c r="NW21" s="786">
        <f>[1]Субсидия_факт!FC19</f>
        <v>0</v>
      </c>
      <c r="NX21" s="517">
        <f t="shared" si="171"/>
        <v>0</v>
      </c>
      <c r="NY21" s="462"/>
      <c r="NZ21" s="682"/>
      <c r="OA21" s="517">
        <f t="shared" si="172"/>
        <v>0</v>
      </c>
      <c r="OD21" s="517">
        <f t="shared" si="173"/>
        <v>0</v>
      </c>
      <c r="OG21" s="526">
        <f t="shared" si="174"/>
        <v>0</v>
      </c>
      <c r="OJ21" s="526">
        <f t="shared" si="175"/>
        <v>0</v>
      </c>
      <c r="OM21" s="526">
        <f t="shared" si="176"/>
        <v>0</v>
      </c>
      <c r="OP21" s="526">
        <f t="shared" si="177"/>
        <v>0</v>
      </c>
      <c r="OS21" s="524">
        <f t="shared" si="80"/>
        <v>0</v>
      </c>
      <c r="OT21" s="498">
        <f>[1]Субсидия_факт!JO19</f>
        <v>0</v>
      </c>
      <c r="OU21" s="786">
        <f>[1]Субсидия_факт!JQ19</f>
        <v>0</v>
      </c>
      <c r="OV21" s="332">
        <f>[1]Субсидия_факт!KS19</f>
        <v>0</v>
      </c>
      <c r="OW21" s="686">
        <f>[1]Субсидия_факт!KY19</f>
        <v>0</v>
      </c>
      <c r="OX21" s="498">
        <f>[1]Субсидия_факт!KG19</f>
        <v>0</v>
      </c>
      <c r="OY21" s="786">
        <f>[1]Субсидия_факт!KM19</f>
        <v>0</v>
      </c>
      <c r="OZ21" s="517">
        <f t="shared" si="81"/>
        <v>0</v>
      </c>
      <c r="PA21" s="462"/>
      <c r="PB21" s="682"/>
      <c r="PC21" s="333"/>
      <c r="PD21" s="704"/>
      <c r="PE21" s="462"/>
      <c r="PF21" s="794"/>
      <c r="PG21" s="524">
        <f t="shared" si="82"/>
        <v>0</v>
      </c>
      <c r="PH21" s="498">
        <f>[1]Субсидия_факт!JC19</f>
        <v>0</v>
      </c>
      <c r="PI21" s="931">
        <f>[1]Субсидия_факт!JG19</f>
        <v>0</v>
      </c>
      <c r="PJ21" s="476">
        <f>[1]Субсидия_факт!JS19</f>
        <v>0</v>
      </c>
      <c r="PK21" s="678">
        <f>[1]Субсидия_факт!JW19</f>
        <v>0</v>
      </c>
      <c r="PL21" s="498">
        <f>[1]Субсидия_факт!KU19</f>
        <v>0</v>
      </c>
      <c r="PM21" s="791">
        <f>[1]Субсидия_факт!LA19</f>
        <v>0</v>
      </c>
      <c r="PN21" s="498">
        <f>[1]Субсидия_факт!KI19</f>
        <v>0</v>
      </c>
      <c r="PO21" s="686">
        <f>[1]Субсидия_факт!KO19</f>
        <v>0</v>
      </c>
      <c r="PP21" s="517">
        <f t="shared" si="83"/>
        <v>0</v>
      </c>
      <c r="PQ21" s="529"/>
      <c r="PR21" s="771"/>
      <c r="PS21" s="462"/>
      <c r="PT21" s="682"/>
      <c r="PU21" s="529"/>
      <c r="PV21" s="774"/>
      <c r="PW21" s="529"/>
      <c r="PX21" s="682"/>
      <c r="PY21" s="570">
        <f t="shared" si="84"/>
        <v>0</v>
      </c>
      <c r="PZ21" s="452">
        <f t="shared" si="85"/>
        <v>0</v>
      </c>
      <c r="QA21" s="686">
        <f t="shared" si="86"/>
        <v>0</v>
      </c>
      <c r="QB21" s="430">
        <f t="shared" si="87"/>
        <v>0</v>
      </c>
      <c r="QC21" s="686">
        <f t="shared" si="88"/>
        <v>0</v>
      </c>
      <c r="QD21" s="332">
        <f t="shared" si="89"/>
        <v>0</v>
      </c>
      <c r="QE21" s="686">
        <f t="shared" si="90"/>
        <v>0</v>
      </c>
      <c r="QF21" s="430">
        <f t="shared" si="91"/>
        <v>0</v>
      </c>
      <c r="QG21" s="686">
        <f t="shared" si="92"/>
        <v>0</v>
      </c>
      <c r="QH21" s="633">
        <f t="shared" si="93"/>
        <v>0</v>
      </c>
      <c r="QI21" s="452">
        <f t="shared" si="94"/>
        <v>0</v>
      </c>
      <c r="QJ21" s="686">
        <f t="shared" si="95"/>
        <v>0</v>
      </c>
      <c r="QK21" s="430">
        <f t="shared" si="96"/>
        <v>0</v>
      </c>
      <c r="QL21" s="686">
        <f t="shared" si="97"/>
        <v>0</v>
      </c>
      <c r="QM21" s="332">
        <f t="shared" si="98"/>
        <v>0</v>
      </c>
      <c r="QN21" s="786">
        <f t="shared" si="99"/>
        <v>0</v>
      </c>
      <c r="QO21" s="332">
        <f t="shared" si="100"/>
        <v>0</v>
      </c>
      <c r="QP21" s="686">
        <f t="shared" si="101"/>
        <v>0</v>
      </c>
      <c r="QQ21" s="570">
        <f t="shared" si="102"/>
        <v>0</v>
      </c>
      <c r="QR21" s="430">
        <f>[1]Субсидия_факт!JE19</f>
        <v>0</v>
      </c>
      <c r="QS21" s="931">
        <f>[1]Субсидия_факт!JI19</f>
        <v>0</v>
      </c>
      <c r="QT21" s="607">
        <f>[1]Субсидия_факт!JU19</f>
        <v>0</v>
      </c>
      <c r="QU21" s="678">
        <f>[1]Субсидия_факт!JY19</f>
        <v>0</v>
      </c>
      <c r="QV21" s="332">
        <f>[1]Субсидия_факт!KW19</f>
        <v>0</v>
      </c>
      <c r="QW21" s="791">
        <f>[1]Субсидия_факт!LC19</f>
        <v>0</v>
      </c>
      <c r="QX21" s="332">
        <f>[1]Субсидия_факт!KK19</f>
        <v>0</v>
      </c>
      <c r="QY21" s="686">
        <f>[1]Субсидия_факт!KQ19</f>
        <v>0</v>
      </c>
      <c r="QZ21" s="570">
        <f t="shared" si="103"/>
        <v>0</v>
      </c>
      <c r="RA21" s="530"/>
      <c r="RB21" s="678"/>
      <c r="RC21" s="462"/>
      <c r="RD21" s="682"/>
      <c r="RE21" s="530"/>
      <c r="RF21" s="794"/>
      <c r="RG21" s="529"/>
      <c r="RH21" s="765"/>
      <c r="RI21" s="487">
        <f>[1]Субсидия_факт!PW19</f>
        <v>13702304.26</v>
      </c>
      <c r="RJ21" s="1240">
        <f t="shared" si="178"/>
        <v>13702304.26</v>
      </c>
      <c r="RK21" s="522">
        <f>'Прочая  субсидия_МР  и  ГО'!B17</f>
        <v>70930864.780000001</v>
      </c>
      <c r="RL21" s="517">
        <f>'Прочая  субсидия_МР  и  ГО'!C17</f>
        <v>51512519.370000005</v>
      </c>
      <c r="RM21" s="522">
        <f>'Прочая  субсидия_БП'!B17</f>
        <v>29268002.609999999</v>
      </c>
      <c r="RN21" s="524">
        <f>'Прочая  субсидия_БП'!C17</f>
        <v>22087396.609999999</v>
      </c>
      <c r="RO21" s="565">
        <f>'Прочая  субсидия_БП'!D17</f>
        <v>29268002.609999999</v>
      </c>
      <c r="RP21" s="564">
        <f>'Прочая  субсидия_БП'!E17</f>
        <v>22087396.609999999</v>
      </c>
      <c r="RQ21" s="571">
        <f>'Прочая  субсидия_БП'!F17</f>
        <v>0</v>
      </c>
      <c r="RR21" s="564">
        <f>'Прочая  субсидия_БП'!G17</f>
        <v>0</v>
      </c>
      <c r="RS21" s="487">
        <f t="shared" si="104"/>
        <v>173678581</v>
      </c>
      <c r="RT21" s="452">
        <f>'Проверочная  таблица'!SR21+'Проверочная  таблица'!RY21+'Проверочная  таблица'!SA21+'Проверочная  таблица'!SC21</f>
        <v>169325213</v>
      </c>
      <c r="RU21" s="332">
        <f>'Проверочная  таблица'!SS21+'Проверочная  таблица'!SE21+'Проверочная  таблица'!SK21+'Проверочная  таблица'!SG21+'Проверочная  таблица'!SO21+'Проверочная  таблица'!SI21+SM21</f>
        <v>4353368</v>
      </c>
      <c r="RV21" s="517">
        <f t="shared" si="105"/>
        <v>143809512.88999999</v>
      </c>
      <c r="RW21" s="430">
        <f>'Проверочная  таблица'!SU21+'Проверочная  таблица'!RZ21+'Проверочная  таблица'!SB21+'Проверочная  таблица'!SD21</f>
        <v>139947416</v>
      </c>
      <c r="RX21" s="332">
        <f>'Проверочная  таблица'!SV21+'Проверочная  таблица'!SF21+'Проверочная  таблица'!SL21+'Проверочная  таблица'!SH21+'Проверочная  таблица'!SP21+'Проверочная  таблица'!SJ21+SN21</f>
        <v>3862096.89</v>
      </c>
      <c r="RY21" s="559">
        <f>'Субвенция  на  полномочия'!B17</f>
        <v>158615005</v>
      </c>
      <c r="RZ21" s="454">
        <f>'Субвенция  на  полномочия'!C17</f>
        <v>131091208</v>
      </c>
      <c r="SA21" s="732">
        <f>[1]Субвенция_факт!P18*1000</f>
        <v>7579000</v>
      </c>
      <c r="SB21" s="1389">
        <v>6000000</v>
      </c>
      <c r="SC21" s="732">
        <f>[1]Субвенция_факт!K18*1000</f>
        <v>1915000</v>
      </c>
      <c r="SD21" s="1389">
        <v>1640000</v>
      </c>
      <c r="SE21" s="732">
        <f>[1]Субвенция_факт!AD18*1000</f>
        <v>654100</v>
      </c>
      <c r="SF21" s="735">
        <v>430343.35</v>
      </c>
      <c r="SG21" s="732">
        <f>[1]Субвенция_факт!AE18*1000</f>
        <v>2000</v>
      </c>
      <c r="SH21" s="735"/>
      <c r="SI21" s="732">
        <f>[1]Субвенция_факт!E18*1000</f>
        <v>2397268.0000000005</v>
      </c>
      <c r="SJ21" s="735">
        <v>2383632</v>
      </c>
      <c r="SK21" s="732">
        <f>[1]Субвенция_факт!F18*1000</f>
        <v>0</v>
      </c>
      <c r="SL21" s="866"/>
      <c r="SM21" s="163">
        <f>[1]Субвенция_факт!G18*1000</f>
        <v>0</v>
      </c>
      <c r="SN21" s="867"/>
      <c r="SO21" s="732">
        <f>[1]Субвенция_факт!H18*1000</f>
        <v>0</v>
      </c>
      <c r="SP21" s="735"/>
      <c r="SQ21" s="524">
        <f t="shared" si="106"/>
        <v>2516208</v>
      </c>
      <c r="SR21" s="865">
        <f>[1]Субвенция_факт!AC18*1000</f>
        <v>1216208</v>
      </c>
      <c r="SS21" s="1040">
        <f>[1]Субвенция_факт!AB18*1000</f>
        <v>1300000</v>
      </c>
      <c r="ST21" s="517">
        <f t="shared" si="107"/>
        <v>2264329.54</v>
      </c>
      <c r="SU21" s="1503">
        <v>1216208</v>
      </c>
      <c r="SV21" s="1506">
        <v>1048121.54</v>
      </c>
      <c r="SW21" s="271">
        <f>'Проверочная  таблица'!VC21+'Проверочная  таблица'!UY21+'Проверочная  таблица'!TQ21+'Проверочная  таблица'!TU21+SY21+'Проверочная  таблица'!US21+UC21+UI21</f>
        <v>0</v>
      </c>
      <c r="SX21" s="163">
        <f>'Проверочная  таблица'!VE21+'Проверочная  таблица'!VA21+'Проверочная  таблица'!TS21+'Проверочная  таблица'!TW21+TH21+'Проверочная  таблица'!UV21+UF21+UL21</f>
        <v>0</v>
      </c>
      <c r="SY21" s="1129">
        <f t="shared" si="108"/>
        <v>0</v>
      </c>
      <c r="SZ21" s="1114">
        <f>'[1]Иные межбюджетные трансферты'!O19</f>
        <v>0</v>
      </c>
      <c r="TA21" s="1111">
        <f>'[1]Иные межбюджетные трансферты'!Q19</f>
        <v>0</v>
      </c>
      <c r="TB21" s="879">
        <f>'[1]Иные межбюджетные трансферты'!I19</f>
        <v>0</v>
      </c>
      <c r="TC21" s="1111">
        <f>'[1]Иные межбюджетные трансферты'!K19</f>
        <v>0</v>
      </c>
      <c r="TD21" s="879">
        <f>'[1]Иные межбюджетные трансферты'!S19</f>
        <v>0</v>
      </c>
      <c r="TE21" s="958">
        <f>'[1]Иные межбюджетные трансферты'!U19</f>
        <v>0</v>
      </c>
      <c r="TF21" s="1236">
        <f>'[1]Иные межбюджетные трансферты'!M19</f>
        <v>0</v>
      </c>
      <c r="TG21" s="1231">
        <f>'[1]Иные межбюджетные трансферты'!W19</f>
        <v>0</v>
      </c>
      <c r="TH21" s="991">
        <f t="shared" si="109"/>
        <v>0</v>
      </c>
      <c r="TI21" s="984"/>
      <c r="TJ21" s="982"/>
      <c r="TK21" s="879"/>
      <c r="TL21" s="958"/>
      <c r="TM21" s="879"/>
      <c r="TN21" s="958"/>
      <c r="TO21" s="984"/>
      <c r="TP21" s="1269"/>
      <c r="TQ21" s="973">
        <f t="shared" si="179"/>
        <v>0</v>
      </c>
      <c r="TR21" s="1458">
        <f>'[1]Иные межбюджетные трансферты'!Y19</f>
        <v>0</v>
      </c>
      <c r="TS21" s="973">
        <f t="shared" si="179"/>
        <v>0</v>
      </c>
      <c r="TT21" s="958"/>
      <c r="TU21" s="973">
        <f t="shared" ref="TU21" si="198">TV21</f>
        <v>0</v>
      </c>
      <c r="TV21" s="958">
        <f>'[1]Иные межбюджетные трансферты'!AA19</f>
        <v>0</v>
      </c>
      <c r="TW21" s="973">
        <f t="shared" si="110"/>
        <v>0</v>
      </c>
      <c r="TX21" s="1111"/>
      <c r="TY21" s="976">
        <f t="shared" si="111"/>
        <v>0</v>
      </c>
      <c r="TZ21" s="970">
        <f t="shared" si="112"/>
        <v>0</v>
      </c>
      <c r="UA21" s="1266">
        <f t="shared" si="181"/>
        <v>0</v>
      </c>
      <c r="UB21" s="976">
        <f t="shared" si="182"/>
        <v>0</v>
      </c>
      <c r="UC21" s="973">
        <f t="shared" si="113"/>
        <v>0</v>
      </c>
      <c r="UD21" s="1272">
        <f>'[1]Иные межбюджетные трансферты'!AE19</f>
        <v>0</v>
      </c>
      <c r="UE21" s="1145">
        <f>'[1]Иные межбюджетные трансферты'!AK19</f>
        <v>0</v>
      </c>
      <c r="UF21" s="973">
        <f t="shared" si="114"/>
        <v>0</v>
      </c>
      <c r="UG21" s="958"/>
      <c r="UH21" s="958"/>
      <c r="UI21" s="973">
        <f t="shared" si="115"/>
        <v>0</v>
      </c>
      <c r="UJ21" s="1272">
        <f>'[1]Иные межбюджетные трансферты'!AG19</f>
        <v>0</v>
      </c>
      <c r="UK21" s="1145">
        <f>'[1]Иные межбюджетные трансферты'!AM19</f>
        <v>0</v>
      </c>
      <c r="UL21" s="973">
        <f t="shared" si="116"/>
        <v>0</v>
      </c>
      <c r="UM21" s="958"/>
      <c r="UN21" s="1111"/>
      <c r="UO21" s="976">
        <f t="shared" si="183"/>
        <v>0</v>
      </c>
      <c r="UP21" s="970">
        <f t="shared" si="184"/>
        <v>0</v>
      </c>
      <c r="UQ21" s="970">
        <f t="shared" si="185"/>
        <v>0</v>
      </c>
      <c r="UR21" s="1462">
        <f t="shared" si="186"/>
        <v>0</v>
      </c>
      <c r="US21" s="1263">
        <f t="shared" si="117"/>
        <v>0</v>
      </c>
      <c r="UT21" s="1040">
        <f>'[1]Иные межбюджетные трансферты'!E19</f>
        <v>0</v>
      </c>
      <c r="UU21" s="1126">
        <f>'[1]Иные межбюджетные трансферты'!G19</f>
        <v>0</v>
      </c>
      <c r="UV21" s="733">
        <f t="shared" si="118"/>
        <v>0</v>
      </c>
      <c r="UW21" s="1040"/>
      <c r="UX21" s="1126"/>
      <c r="UY21" s="880">
        <f t="shared" si="119"/>
        <v>0</v>
      </c>
      <c r="UZ21" s="958"/>
      <c r="VA21" s="1039">
        <f t="shared" si="120"/>
        <v>0</v>
      </c>
      <c r="VB21" s="890"/>
      <c r="VC21" s="510">
        <f t="shared" si="121"/>
        <v>0</v>
      </c>
      <c r="VD21" s="874">
        <f>'[1]Иные межбюджетные трансферты'!AS19</f>
        <v>0</v>
      </c>
      <c r="VE21" s="510">
        <f t="shared" si="122"/>
        <v>0</v>
      </c>
      <c r="VF21" s="513"/>
      <c r="VG21" s="886">
        <f t="shared" si="123"/>
        <v>0</v>
      </c>
      <c r="VH21" s="511">
        <f>'Проверочная  таблица'!VD21-VL21</f>
        <v>0</v>
      </c>
      <c r="VI21" s="886">
        <f t="shared" si="124"/>
        <v>0</v>
      </c>
      <c r="VJ21" s="511">
        <f>'Проверочная  таблица'!VF21-VN21</f>
        <v>0</v>
      </c>
      <c r="VK21" s="886">
        <f t="shared" si="125"/>
        <v>0</v>
      </c>
      <c r="VL21" s="874">
        <f>'[1]Иные межбюджетные трансферты'!AU19</f>
        <v>0</v>
      </c>
      <c r="VM21" s="1038">
        <f t="shared" si="126"/>
        <v>0</v>
      </c>
      <c r="VN21" s="513"/>
      <c r="VO21" s="517">
        <f>VQ21+'Проверочная  таблица'!VY21+VU21+'Проверочная  таблица'!WC21+VW21+'Проверочная  таблица'!WE21</f>
        <v>-9200000</v>
      </c>
      <c r="VP21" s="517">
        <f>VR21+'Проверочная  таблица'!VZ21+VV21+'Проверочная  таблица'!WD21+VX21+'Проверочная  таблица'!WF21</f>
        <v>1500000</v>
      </c>
      <c r="VQ21" s="531">
        <v>8000000</v>
      </c>
      <c r="VR21" s="531">
        <v>8000000</v>
      </c>
      <c r="VS21" s="531">
        <v>800000</v>
      </c>
      <c r="VT21" s="531">
        <v>800000</v>
      </c>
      <c r="VU21" s="528">
        <f t="shared" si="127"/>
        <v>800000</v>
      </c>
      <c r="VV21" s="526">
        <f t="shared" si="128"/>
        <v>800000</v>
      </c>
      <c r="VW21" s="532"/>
      <c r="VX21" s="521"/>
      <c r="VY21" s="531">
        <v>-17600000</v>
      </c>
      <c r="VZ21" s="531">
        <v>-6900000</v>
      </c>
      <c r="WA21" s="531">
        <v>-400000</v>
      </c>
      <c r="WB21" s="531">
        <v>-400000</v>
      </c>
      <c r="WC21" s="528">
        <f t="shared" si="129"/>
        <v>-400000</v>
      </c>
      <c r="WD21" s="526">
        <f t="shared" si="130"/>
        <v>-400000</v>
      </c>
      <c r="WE21" s="521"/>
      <c r="WF21" s="521"/>
      <c r="WG21" s="1356">
        <f>'Проверочная  таблица'!VY21+'Проверочная  таблица'!WA21</f>
        <v>-18000000</v>
      </c>
      <c r="WH21" s="1356">
        <f>'Проверочная  таблица'!VZ21+'Проверочная  таблица'!WB21</f>
        <v>-7300000</v>
      </c>
      <c r="WI21" s="1481"/>
    </row>
    <row r="22" spans="1:607" s="329" customFormat="1" ht="25.5" customHeight="1" x14ac:dyDescent="0.3">
      <c r="A22" s="339" t="s">
        <v>98</v>
      </c>
      <c r="B22" s="524">
        <f>D22+AI22+'Проверочная  таблица'!RS22+'Проверочная  таблица'!SW22</f>
        <v>1021499449.13</v>
      </c>
      <c r="C22" s="517">
        <f>E22+'Проверочная  таблица'!RV22+AJ22+'Проверочная  таблица'!SX22</f>
        <v>827900544.05999994</v>
      </c>
      <c r="D22" s="522">
        <f t="shared" si="0"/>
        <v>151258025</v>
      </c>
      <c r="E22" s="524">
        <f t="shared" si="1"/>
        <v>130106693.15000001</v>
      </c>
      <c r="F22" s="1062">
        <f>'[1]Дотация  из  ОБ_факт'!I18+'[1]Дотация  из  ОБ_факт'!Q18</f>
        <v>40013300</v>
      </c>
      <c r="G22" s="1366">
        <v>35947475</v>
      </c>
      <c r="H22" s="563">
        <f>'[1]Дотация  из  ОБ_факт'!K18</f>
        <v>58893000</v>
      </c>
      <c r="I22" s="1366">
        <v>52550434.460000001</v>
      </c>
      <c r="J22" s="564">
        <f t="shared" si="2"/>
        <v>26191600</v>
      </c>
      <c r="K22" s="571">
        <f t="shared" si="3"/>
        <v>20024384.460000001</v>
      </c>
      <c r="L22" s="883">
        <f>'[1]Дотация  из  ОБ_факт'!O18</f>
        <v>32701400</v>
      </c>
      <c r="M22" s="1364">
        <v>32526050</v>
      </c>
      <c r="N22" s="563">
        <f>'[1]Дотация  из  ОБ_факт'!U18</f>
        <v>15222325</v>
      </c>
      <c r="O22" s="1366">
        <v>9690533.5999999996</v>
      </c>
      <c r="P22" s="784">
        <f>'[1]Дотация  из  ОБ_факт'!W18</f>
        <v>36529400</v>
      </c>
      <c r="Q22" s="1366">
        <v>31318250.09</v>
      </c>
      <c r="R22" s="571">
        <f t="shared" si="4"/>
        <v>24859600</v>
      </c>
      <c r="S22" s="564">
        <f t="shared" si="5"/>
        <v>19865900.119999997</v>
      </c>
      <c r="T22" s="1059">
        <f>'[1]Дотация  из  ОБ_факт'!AA18</f>
        <v>11669800</v>
      </c>
      <c r="U22" s="1366">
        <v>11452349.970000001</v>
      </c>
      <c r="V22" s="784">
        <f>'[1]Дотация  из  ОБ_факт'!AE18+'[1]Дотация  из  ОБ_факт'!AG18+'[1]Дотация  из  ОБ_факт'!AK18</f>
        <v>0</v>
      </c>
      <c r="W22" s="163">
        <f t="shared" si="6"/>
        <v>0</v>
      </c>
      <c r="X22" s="567"/>
      <c r="Y22" s="566"/>
      <c r="Z22" s="567"/>
      <c r="AA22" s="563">
        <f>'[1]Дотация  из  ОБ_факт'!AC18+'[1]Дотация  из  ОБ_факт'!AI18</f>
        <v>600000</v>
      </c>
      <c r="AB22" s="165">
        <f t="shared" si="7"/>
        <v>600000</v>
      </c>
      <c r="AC22" s="566">
        <v>600000</v>
      </c>
      <c r="AD22" s="567"/>
      <c r="AE22" s="564">
        <f t="shared" si="8"/>
        <v>600000</v>
      </c>
      <c r="AF22" s="571">
        <f t="shared" si="9"/>
        <v>600000</v>
      </c>
      <c r="AG22" s="565">
        <f>'[1]Дотация  из  ОБ_факт'!AI18</f>
        <v>0</v>
      </c>
      <c r="AH22" s="1370">
        <f t="shared" si="131"/>
        <v>0</v>
      </c>
      <c r="AI22" s="559">
        <f>'Проверочная  таблица'!KI22+NU22+OA22+'Проверочная  таблица'!RK22+'Проверочная  таблица'!RM22+DE22+DG22+DM22+DO22+'Проверочная  таблица'!MY22+'Проверочная  таблица'!NC22+CG22+CQ22+'Проверочная  таблица'!HE22+'Проверочная  таблица'!HW22+'Проверочная  таблица'!ES22+'Проверочная  таблица'!JY22+DU22+'Проверочная  таблица'!GA22+'Проверочная  таблица'!GG22+'Проверочная  таблица'!LG22+'Проверочная  таблица'!LU22+FU22+'Проверочная  таблица'!KU22+RI22+OS22+PG22+EK22+AK22+AW22+FO22+FE22+GY22+EY22</f>
        <v>282436701.13</v>
      </c>
      <c r="AJ22" s="487">
        <f>'Проверочная  таблица'!KO22+NX22+OD22+'Проверочная  таблица'!RL22+'Проверочная  таблица'!RN22+DF22+DH22+DN22+DP22+'Проверочная  таблица'!NA22+'Проверочная  таблица'!NF22+CL22+CV22+'Проверочная  таблица'!HN22+'Проверочная  таблица'!IF22+'Проверочная  таблица'!EV22+'Проверочная  таблица'!KD22+EC22+'Проверочная  таблица'!GD22+'Проверочная  таблица'!GJ22+'Проверочная  таблица'!LN22+'Проверочная  таблица'!LZ22+FX22+'Проверочная  таблица'!KY22+FR22+RJ22+PP22+OZ22+EM22+AQ22+BC22+FJ22+HB22+FB22</f>
        <v>228452367.00999999</v>
      </c>
      <c r="AK22" s="487">
        <f t="shared" si="10"/>
        <v>49960365</v>
      </c>
      <c r="AL22" s="332">
        <f>[1]Субсидия_факт!CO20</f>
        <v>0</v>
      </c>
      <c r="AM22" s="523">
        <f>[1]Субсидия_факт!FK20</f>
        <v>49960365</v>
      </c>
      <c r="AN22" s="498">
        <f>[1]Субсидия_факт!FW20</f>
        <v>0</v>
      </c>
      <c r="AO22" s="523">
        <f>[1]Субсидия_факт!KA20</f>
        <v>0</v>
      </c>
      <c r="AP22" s="332">
        <f>[1]Субсидия_факт!LE20</f>
        <v>0</v>
      </c>
      <c r="AQ22" s="487">
        <f t="shared" si="11"/>
        <v>49323256</v>
      </c>
      <c r="AR22" s="462"/>
      <c r="AS22" s="462">
        <f>14362891+34960365</f>
        <v>49323256</v>
      </c>
      <c r="AT22" s="462"/>
      <c r="AU22" s="462"/>
      <c r="AV22" s="462"/>
      <c r="AW22" s="487">
        <f t="shared" si="132"/>
        <v>0</v>
      </c>
      <c r="AX22" s="452">
        <f>[1]Субсидия_факт!CQ20</f>
        <v>0</v>
      </c>
      <c r="AY22" s="332">
        <f>[1]Субсидия_факт!FO20</f>
        <v>0</v>
      </c>
      <c r="AZ22" s="476">
        <f>[1]Субсидия_факт!JK20</f>
        <v>0</v>
      </c>
      <c r="BA22" s="496">
        <f>[1]Субсидия_факт!KC20</f>
        <v>0</v>
      </c>
      <c r="BB22" s="498">
        <f>[1]Субсидия_факт!LG20</f>
        <v>0</v>
      </c>
      <c r="BC22" s="487">
        <f t="shared" si="133"/>
        <v>0</v>
      </c>
      <c r="BD22" s="529"/>
      <c r="BE22" s="529"/>
      <c r="BF22" s="333"/>
      <c r="BG22" s="530"/>
      <c r="BH22" s="529"/>
      <c r="BI22" s="657">
        <f t="shared" si="134"/>
        <v>0</v>
      </c>
      <c r="BJ22" s="1025">
        <f t="shared" si="12"/>
        <v>0</v>
      </c>
      <c r="BK22" s="452">
        <f t="shared" si="13"/>
        <v>0</v>
      </c>
      <c r="BL22" s="452">
        <f t="shared" si="14"/>
        <v>0</v>
      </c>
      <c r="BM22" s="332">
        <f t="shared" si="15"/>
        <v>0</v>
      </c>
      <c r="BN22" s="488">
        <f t="shared" si="16"/>
        <v>0</v>
      </c>
      <c r="BO22" s="657">
        <f t="shared" si="135"/>
        <v>0</v>
      </c>
      <c r="BP22" s="607">
        <f t="shared" si="17"/>
        <v>0</v>
      </c>
      <c r="BQ22" s="496">
        <f t="shared" si="18"/>
        <v>0</v>
      </c>
      <c r="BR22" s="332">
        <f t="shared" si="19"/>
        <v>0</v>
      </c>
      <c r="BS22" s="430">
        <f t="shared" si="20"/>
        <v>0</v>
      </c>
      <c r="BT22" s="332">
        <f t="shared" si="21"/>
        <v>0</v>
      </c>
      <c r="BU22" s="657">
        <f t="shared" si="136"/>
        <v>0</v>
      </c>
      <c r="BV22" s="452">
        <f>[1]Субсидия_факт!CS20</f>
        <v>0</v>
      </c>
      <c r="BW22" s="332">
        <f>[1]Субсидия_факт!FQ20</f>
        <v>0</v>
      </c>
      <c r="BX22" s="476">
        <f>[1]Субсидия_факт!JM20</f>
        <v>0</v>
      </c>
      <c r="BY22" s="430">
        <f>[1]Субсидия_факт!KE20</f>
        <v>0</v>
      </c>
      <c r="BZ22" s="332">
        <f>[1]Субсидия_факт!LI20</f>
        <v>0</v>
      </c>
      <c r="CA22" s="659">
        <f t="shared" si="137"/>
        <v>0</v>
      </c>
      <c r="CB22" s="782"/>
      <c r="CC22" s="529"/>
      <c r="CD22" s="462"/>
      <c r="CE22" s="529"/>
      <c r="CF22" s="529"/>
      <c r="CG22" s="517">
        <f t="shared" si="22"/>
        <v>19557654</v>
      </c>
      <c r="CH22" s="430">
        <f>[1]Субсидия_факт!LM20</f>
        <v>0</v>
      </c>
      <c r="CI22" s="452">
        <f>[1]Субсидия_факт!LS20</f>
        <v>19557654</v>
      </c>
      <c r="CJ22" s="332">
        <f>[1]Субсидия_факт!ME20</f>
        <v>0</v>
      </c>
      <c r="CK22" s="511">
        <f>[1]Субсидия_факт!MK20</f>
        <v>0</v>
      </c>
      <c r="CL22" s="517">
        <f t="shared" si="23"/>
        <v>19557654</v>
      </c>
      <c r="CM22" s="529"/>
      <c r="CN22" s="529">
        <v>19557654</v>
      </c>
      <c r="CO22" s="529"/>
      <c r="CP22" s="610"/>
      <c r="CQ22" s="517">
        <f t="shared" si="24"/>
        <v>22523670</v>
      </c>
      <c r="CR22" s="452">
        <f>[1]Субсидия_факт!LO20</f>
        <v>0</v>
      </c>
      <c r="CS22" s="452">
        <f>[1]Субсидия_факт!LU20</f>
        <v>22523670</v>
      </c>
      <c r="CT22" s="332">
        <f>[1]Субсидия_факт!MG20</f>
        <v>0</v>
      </c>
      <c r="CU22" s="511">
        <f>[1]Субсидия_факт!MM20</f>
        <v>0</v>
      </c>
      <c r="CV22" s="517">
        <f t="shared" si="25"/>
        <v>11201531.779999999</v>
      </c>
      <c r="CW22" s="529"/>
      <c r="CX22" s="530">
        <v>11201531.779999999</v>
      </c>
      <c r="CY22" s="782"/>
      <c r="CZ22" s="719"/>
      <c r="DA22" s="528">
        <f t="shared" si="138"/>
        <v>0</v>
      </c>
      <c r="DB22" s="526">
        <f t="shared" si="139"/>
        <v>0</v>
      </c>
      <c r="DC22" s="525">
        <f t="shared" si="140"/>
        <v>22523670</v>
      </c>
      <c r="DD22" s="528">
        <f t="shared" si="141"/>
        <v>11201531.779999999</v>
      </c>
      <c r="DE22" s="524">
        <f>[1]Субсидия_факт!GC20</f>
        <v>0</v>
      </c>
      <c r="DF22" s="330"/>
      <c r="DG22" s="522">
        <f>[1]Субсидия_факт!GE20</f>
        <v>0</v>
      </c>
      <c r="DH22" s="330"/>
      <c r="DI22" s="757">
        <f t="shared" si="142"/>
        <v>0</v>
      </c>
      <c r="DJ22" s="570">
        <f t="shared" si="143"/>
        <v>0</v>
      </c>
      <c r="DK22" s="757">
        <f>[1]Субсидия_факт!GG20</f>
        <v>0</v>
      </c>
      <c r="DL22" s="1387">
        <f t="shared" si="144"/>
        <v>0</v>
      </c>
      <c r="DM22" s="516">
        <f>[1]Субсидия_факт!GI20</f>
        <v>0</v>
      </c>
      <c r="DN22" s="604"/>
      <c r="DO22" s="517">
        <f>[1]Субсидия_факт!GK20</f>
        <v>0</v>
      </c>
      <c r="DP22" s="604"/>
      <c r="DQ22" s="526">
        <f t="shared" si="28"/>
        <v>0</v>
      </c>
      <c r="DR22" s="526">
        <f t="shared" si="29"/>
        <v>0</v>
      </c>
      <c r="DS22" s="653">
        <f t="shared" si="30"/>
        <v>0</v>
      </c>
      <c r="DT22" s="1385">
        <f t="shared" si="145"/>
        <v>0</v>
      </c>
      <c r="DU22" s="517">
        <f t="shared" si="31"/>
        <v>0</v>
      </c>
      <c r="DV22" s="523">
        <f>[1]Субсидия_факт!E20</f>
        <v>0</v>
      </c>
      <c r="DW22" s="1025">
        <f>[1]Субсидия_факт!G20</f>
        <v>0</v>
      </c>
      <c r="DX22" s="678">
        <f>[1]Субсидия_факт!I20</f>
        <v>0</v>
      </c>
      <c r="DY22" s="636">
        <f>[1]Субсидия_факт!K20</f>
        <v>0</v>
      </c>
      <c r="DZ22" s="786">
        <f>[1]Субсидия_факт!M20</f>
        <v>0</v>
      </c>
      <c r="EA22" s="498">
        <f>[1]Субсидия_факт!O20</f>
        <v>0</v>
      </c>
      <c r="EB22" s="636">
        <f>[1]Субсидия_факт!Q20</f>
        <v>0</v>
      </c>
      <c r="EC22" s="516">
        <f t="shared" si="32"/>
        <v>0</v>
      </c>
      <c r="ED22" s="530"/>
      <c r="EE22" s="529"/>
      <c r="EF22" s="682"/>
      <c r="EG22" s="529"/>
      <c r="EH22" s="682"/>
      <c r="EI22" s="530"/>
      <c r="EJ22" s="607">
        <f t="shared" si="146"/>
        <v>0</v>
      </c>
      <c r="EK22" s="516">
        <f t="shared" si="147"/>
        <v>421875</v>
      </c>
      <c r="EL22" s="1223">
        <f>[1]Субсидия_факт!S20</f>
        <v>421875</v>
      </c>
      <c r="EM22" s="524">
        <f t="shared" si="147"/>
        <v>421875</v>
      </c>
      <c r="EN22" s="607">
        <f t="shared" si="148"/>
        <v>421875</v>
      </c>
      <c r="EO22" s="570">
        <f t="shared" si="149"/>
        <v>0</v>
      </c>
      <c r="EP22" s="633">
        <f t="shared" si="150"/>
        <v>0</v>
      </c>
      <c r="EQ22" s="633">
        <f>[1]Субсидия_факт!U20</f>
        <v>421875</v>
      </c>
      <c r="ER22" s="1245">
        <f t="shared" si="151"/>
        <v>421875</v>
      </c>
      <c r="ES22" s="487">
        <f t="shared" si="33"/>
        <v>0</v>
      </c>
      <c r="ET22" s="511">
        <f>[1]Субсидия_факт!AU20</f>
        <v>0</v>
      </c>
      <c r="EU22" s="890">
        <f>[1]Субсидия_факт!AW20</f>
        <v>0</v>
      </c>
      <c r="EV22" s="454">
        <f t="shared" si="34"/>
        <v>0</v>
      </c>
      <c r="EW22" s="777"/>
      <c r="EX22" s="1095"/>
      <c r="EY22" s="487">
        <f t="shared" si="35"/>
        <v>0</v>
      </c>
      <c r="EZ22" s="511">
        <f>[1]Субсидия_факт!FY20</f>
        <v>0</v>
      </c>
      <c r="FA22" s="890">
        <f>[1]Субсидия_факт!GA20</f>
        <v>0</v>
      </c>
      <c r="FB22" s="454">
        <f t="shared" si="36"/>
        <v>0</v>
      </c>
      <c r="FC22" s="777"/>
      <c r="FD22" s="1095"/>
      <c r="FE22" s="517">
        <f t="shared" si="152"/>
        <v>0</v>
      </c>
      <c r="FF22" s="430">
        <f>[1]Субсидия_факт!W20</f>
        <v>0</v>
      </c>
      <c r="FG22" s="931">
        <f>[1]Субсидия_факт!Y20</f>
        <v>0</v>
      </c>
      <c r="FH22" s="452">
        <f>[1]Субсидия_факт!AA20</f>
        <v>0</v>
      </c>
      <c r="FI22" s="686">
        <f>[1]Субсидия_факт!AC20</f>
        <v>0</v>
      </c>
      <c r="FJ22" s="516">
        <f t="shared" si="153"/>
        <v>0</v>
      </c>
      <c r="FK22" s="462"/>
      <c r="FL22" s="682"/>
      <c r="FM22" s="462"/>
      <c r="FN22" s="682"/>
      <c r="FO22" s="487">
        <f t="shared" si="37"/>
        <v>0</v>
      </c>
      <c r="FP22" s="511">
        <f>[1]Субсидия_факт!AY20</f>
        <v>0</v>
      </c>
      <c r="FQ22" s="890">
        <f>[1]Субсидия_факт!BA20</f>
        <v>0</v>
      </c>
      <c r="FR22" s="454">
        <f t="shared" si="38"/>
        <v>0</v>
      </c>
      <c r="FS22" s="777"/>
      <c r="FT22" s="673"/>
      <c r="FU22" s="524">
        <f t="shared" si="154"/>
        <v>0</v>
      </c>
      <c r="FV22" s="498">
        <f>[1]Субсидия_факт!EE20</f>
        <v>0</v>
      </c>
      <c r="FW22" s="686">
        <f>[1]Субсидия_факт!EG20</f>
        <v>0</v>
      </c>
      <c r="FX22" s="517">
        <f t="shared" si="155"/>
        <v>0</v>
      </c>
      <c r="FY22" s="529"/>
      <c r="FZ22" s="704"/>
      <c r="GA22" s="559">
        <f t="shared" si="41"/>
        <v>1500000</v>
      </c>
      <c r="GB22" s="511">
        <f>[1]Субсидия_факт!DS20</f>
        <v>420002.06</v>
      </c>
      <c r="GC22" s="890">
        <f>[1]Субсидия_факт!DY20</f>
        <v>1079997.94</v>
      </c>
      <c r="GD22" s="454">
        <f t="shared" si="42"/>
        <v>1500000</v>
      </c>
      <c r="GE22" s="1290">
        <f t="shared" si="197"/>
        <v>420002.06</v>
      </c>
      <c r="GF22" s="671">
        <f t="shared" si="197"/>
        <v>1079997.94</v>
      </c>
      <c r="GG22" s="454">
        <f t="shared" si="43"/>
        <v>0</v>
      </c>
      <c r="GH22" s="511">
        <f>[1]Субсидия_факт!DU20</f>
        <v>0</v>
      </c>
      <c r="GI22" s="751">
        <f>[1]Субсидия_факт!EA20</f>
        <v>0</v>
      </c>
      <c r="GJ22" s="454">
        <f t="shared" si="44"/>
        <v>0</v>
      </c>
      <c r="GK22" s="610"/>
      <c r="GL22" s="706"/>
      <c r="GM22" s="659">
        <f t="shared" si="45"/>
        <v>0</v>
      </c>
      <c r="GN22" s="749">
        <f>'Проверочная  таблица'!GH22-'Проверочная  таблица'!GT22</f>
        <v>0</v>
      </c>
      <c r="GO22" s="671">
        <f>'Проверочная  таблица'!GI22-'Проверочная  таблица'!GU22</f>
        <v>0</v>
      </c>
      <c r="GP22" s="653">
        <f t="shared" si="46"/>
        <v>0</v>
      </c>
      <c r="GQ22" s="756">
        <f>'Проверочная  таблица'!GK22-'Проверочная  таблица'!GW22</f>
        <v>0</v>
      </c>
      <c r="GR22" s="768">
        <f>'Проверочная  таблица'!GL22-'Проверочная  таблица'!GX22</f>
        <v>0</v>
      </c>
      <c r="GS22" s="659">
        <f t="shared" si="47"/>
        <v>0</v>
      </c>
      <c r="GT22" s="511">
        <f>[1]Субсидия_факт!DW20</f>
        <v>0</v>
      </c>
      <c r="GU22" s="890">
        <f>[1]Субсидия_факт!EC20</f>
        <v>0</v>
      </c>
      <c r="GV22" s="659">
        <f t="shared" si="48"/>
        <v>0</v>
      </c>
      <c r="GW22" s="511"/>
      <c r="GX22" s="751"/>
      <c r="GY22" s="454">
        <f t="shared" si="49"/>
        <v>0</v>
      </c>
      <c r="GZ22" s="756">
        <f>[1]Субсидия_факт!AE20</f>
        <v>0</v>
      </c>
      <c r="HA22" s="671">
        <f>[1]Субсидия_факт!AG20</f>
        <v>0</v>
      </c>
      <c r="HB22" s="454">
        <f t="shared" si="50"/>
        <v>0</v>
      </c>
      <c r="HC22" s="756"/>
      <c r="HD22" s="671"/>
      <c r="HE22" s="747">
        <f t="shared" si="51"/>
        <v>242210.13999999998</v>
      </c>
      <c r="HF22" s="756">
        <f>[1]Субсидия_факт!BW20</f>
        <v>0</v>
      </c>
      <c r="HG22" s="671">
        <f>[1]Субсидия_факт!CC20</f>
        <v>0</v>
      </c>
      <c r="HH22" s="511">
        <f>[1]Субсидия_факт!CU20</f>
        <v>217391.3</v>
      </c>
      <c r="HI22" s="890">
        <f>[1]Субсидия_факт!DA20</f>
        <v>24818.84</v>
      </c>
      <c r="HJ22" s="511">
        <f>[1]Субсидия_факт!DG20</f>
        <v>0</v>
      </c>
      <c r="HK22" s="890">
        <f>[1]Субсидия_факт!DM20</f>
        <v>0</v>
      </c>
      <c r="HL22" s="511">
        <f>[1]Субсидия_факт!EI20</f>
        <v>0</v>
      </c>
      <c r="HM22" s="751">
        <f>[1]Субсидия_факт!EO20</f>
        <v>0</v>
      </c>
      <c r="HN22" s="747">
        <f t="shared" si="52"/>
        <v>242210.13999999998</v>
      </c>
      <c r="HO22" s="610"/>
      <c r="HP22" s="673"/>
      <c r="HQ22" s="756">
        <f t="shared" si="156"/>
        <v>217391.3</v>
      </c>
      <c r="HR22" s="768">
        <f t="shared" si="188"/>
        <v>24818.84</v>
      </c>
      <c r="HS22" s="756">
        <f t="shared" si="157"/>
        <v>0</v>
      </c>
      <c r="HT22" s="1480">
        <f t="shared" si="158"/>
        <v>0</v>
      </c>
      <c r="HU22" s="610"/>
      <c r="HV22" s="673"/>
      <c r="HW22" s="747">
        <f t="shared" si="53"/>
        <v>20583333.329999998</v>
      </c>
      <c r="HX22" s="756">
        <f>[1]Субсидия_факт!BY20</f>
        <v>5763733.3300000001</v>
      </c>
      <c r="HY22" s="671">
        <f>[1]Субсидия_факт!CE20</f>
        <v>14819600</v>
      </c>
      <c r="HZ22" s="511">
        <f>[1]Субсидия_факт!CW20</f>
        <v>0</v>
      </c>
      <c r="IA22" s="751">
        <f>[1]Субсидия_факт!DC20</f>
        <v>0</v>
      </c>
      <c r="IB22" s="511">
        <f>[1]Субсидия_факт!DI20</f>
        <v>0</v>
      </c>
      <c r="IC22" s="890">
        <f>[1]Субсидия_факт!DO20</f>
        <v>0</v>
      </c>
      <c r="ID22" s="511">
        <f>[1]Субсидия_факт!EK20</f>
        <v>0</v>
      </c>
      <c r="IE22" s="751">
        <f>[1]Субсидия_факт!EQ20</f>
        <v>0</v>
      </c>
      <c r="IF22" s="747">
        <f t="shared" si="54"/>
        <v>5885691.6500000004</v>
      </c>
      <c r="IG22" s="610">
        <v>1648108.03</v>
      </c>
      <c r="IH22" s="673">
        <f>5885691.65-IG22</f>
        <v>4237583.62</v>
      </c>
      <c r="II22" s="749">
        <f t="shared" si="159"/>
        <v>0</v>
      </c>
      <c r="IJ22" s="671">
        <f t="shared" si="160"/>
        <v>0</v>
      </c>
      <c r="IK22" s="777"/>
      <c r="IL22" s="673"/>
      <c r="IM22" s="610"/>
      <c r="IN22" s="673"/>
      <c r="IO22" s="750">
        <f t="shared" si="55"/>
        <v>20583333.329999998</v>
      </c>
      <c r="IP22" s="756">
        <f>'Проверочная  таблица'!HX22-JH22</f>
        <v>5763733.3300000001</v>
      </c>
      <c r="IQ22" s="671">
        <f>'Проверочная  таблица'!HY22-JI22</f>
        <v>14819600</v>
      </c>
      <c r="IR22" s="756">
        <f>'Проверочная  таблица'!HZ22-JJ22</f>
        <v>0</v>
      </c>
      <c r="IS22" s="671">
        <f>'Проверочная  таблица'!IA22-JK22</f>
        <v>0</v>
      </c>
      <c r="IT22" s="749">
        <f>'Проверочная  таблица'!IB22-JL22</f>
        <v>0</v>
      </c>
      <c r="IU22" s="671">
        <f>'Проверочная  таблица'!IC22-JM22</f>
        <v>0</v>
      </c>
      <c r="IV22" s="756">
        <f>'Проверочная  таблица'!ID22-JN22</f>
        <v>0</v>
      </c>
      <c r="IW22" s="671">
        <f>'Проверочная  таблица'!IE22-JO22</f>
        <v>0</v>
      </c>
      <c r="IX22" s="750">
        <f t="shared" si="56"/>
        <v>5885691.6500000004</v>
      </c>
      <c r="IY22" s="756">
        <f>'Проверочная  таблица'!IG22-JQ22</f>
        <v>1648108.03</v>
      </c>
      <c r="IZ22" s="810">
        <f>'Проверочная  таблица'!IH22-JR22</f>
        <v>4237583.62</v>
      </c>
      <c r="JA22" s="756">
        <f>'Проверочная  таблица'!II22-JS22</f>
        <v>0</v>
      </c>
      <c r="JB22" s="768">
        <f>'Проверочная  таблица'!IJ22-JT22</f>
        <v>0</v>
      </c>
      <c r="JC22" s="756">
        <f>'Проверочная  таблица'!IK22-JU22</f>
        <v>0</v>
      </c>
      <c r="JD22" s="768">
        <f>'Проверочная  таблица'!IL22-JV22</f>
        <v>0</v>
      </c>
      <c r="JE22" s="756">
        <f>'Проверочная  таблица'!IM22-JW22</f>
        <v>0</v>
      </c>
      <c r="JF22" s="768">
        <f>'Проверочная  таблица'!IN22-JX22</f>
        <v>0</v>
      </c>
      <c r="JG22" s="659">
        <f t="shared" si="57"/>
        <v>0</v>
      </c>
      <c r="JH22" s="756">
        <f>[1]Субсидия_факт!CA20</f>
        <v>0</v>
      </c>
      <c r="JI22" s="671">
        <f>[1]Субсидия_факт!CG20</f>
        <v>0</v>
      </c>
      <c r="JJ22" s="511">
        <f>[1]Субсидия_факт!CY20</f>
        <v>0</v>
      </c>
      <c r="JK22" s="751">
        <f>[1]Субсидия_факт!DE20</f>
        <v>0</v>
      </c>
      <c r="JL22" s="511">
        <f>[1]Субсидия_факт!DK20</f>
        <v>0</v>
      </c>
      <c r="JM22" s="890">
        <f>[1]Субсидия_факт!DQ20</f>
        <v>0</v>
      </c>
      <c r="JN22" s="511">
        <f>[1]Субсидия_факт!EM20</f>
        <v>0</v>
      </c>
      <c r="JO22" s="751">
        <f>[1]Субсидия_факт!ES20</f>
        <v>0</v>
      </c>
      <c r="JP22" s="750">
        <f t="shared" si="58"/>
        <v>0</v>
      </c>
      <c r="JQ22" s="610"/>
      <c r="JR22" s="673"/>
      <c r="JS22" s="513"/>
      <c r="JT22" s="788"/>
      <c r="JU22" s="513"/>
      <c r="JV22" s="885"/>
      <c r="JW22" s="610"/>
      <c r="JX22" s="673"/>
      <c r="JY22" s="454">
        <f t="shared" si="161"/>
        <v>0</v>
      </c>
      <c r="JZ22" s="511">
        <f>[1]Субсидия_факт!BC20</f>
        <v>0</v>
      </c>
      <c r="KA22" s="890">
        <f>[1]Субсидия_факт!BE20</f>
        <v>0</v>
      </c>
      <c r="KB22" s="511">
        <f>[1]Субсидия_факт!BG20</f>
        <v>0</v>
      </c>
      <c r="KC22" s="890">
        <f>[1]Субсидия_факт!BI20</f>
        <v>0</v>
      </c>
      <c r="KD22" s="454">
        <f t="shared" si="162"/>
        <v>0</v>
      </c>
      <c r="KE22" s="610"/>
      <c r="KF22" s="673"/>
      <c r="KG22" s="610"/>
      <c r="KH22" s="673"/>
      <c r="KI22" s="524">
        <f t="shared" si="59"/>
        <v>306438.25</v>
      </c>
      <c r="KJ22" s="511">
        <f>[1]Субсидия_факт!HO20</f>
        <v>306438.25</v>
      </c>
      <c r="KK22" s="523">
        <f>[1]Субсидия_факт!HQ20</f>
        <v>0</v>
      </c>
      <c r="KL22" s="686">
        <f>[1]Субсидия_факт!HS20</f>
        <v>0</v>
      </c>
      <c r="KM22" s="636">
        <f>[1]Субсидия_факт!IC20</f>
        <v>0</v>
      </c>
      <c r="KN22" s="686">
        <f>[1]Субсидия_факт!IE20</f>
        <v>0</v>
      </c>
      <c r="KO22" s="487">
        <f t="shared" si="163"/>
        <v>306438.25</v>
      </c>
      <c r="KP22" s="756">
        <f t="shared" si="164"/>
        <v>306438.25</v>
      </c>
      <c r="KQ22" s="333"/>
      <c r="KR22" s="682"/>
      <c r="KS22" s="462"/>
      <c r="KT22" s="682"/>
      <c r="KU22" s="454">
        <f t="shared" si="60"/>
        <v>4899457.66</v>
      </c>
      <c r="KV22" s="513">
        <f>[1]Субсидия_факт!HY20</f>
        <v>4899457.66</v>
      </c>
      <c r="KW22" s="513">
        <f>[1]Субсидия_факт!HU20</f>
        <v>0</v>
      </c>
      <c r="KX22" s="751">
        <f>[1]Субсидия_факт!HW20</f>
        <v>0</v>
      </c>
      <c r="KY22" s="454">
        <f t="shared" si="61"/>
        <v>4899457.66</v>
      </c>
      <c r="KZ22" s="756">
        <f t="shared" si="165"/>
        <v>4899457.66</v>
      </c>
      <c r="LA22" s="610"/>
      <c r="LB22" s="673"/>
      <c r="LC22" s="886">
        <f t="shared" si="62"/>
        <v>0</v>
      </c>
      <c r="LD22" s="886">
        <f t="shared" si="63"/>
        <v>0</v>
      </c>
      <c r="LE22" s="657">
        <f t="shared" si="64"/>
        <v>4899457.66</v>
      </c>
      <c r="LF22" s="1038">
        <f t="shared" si="65"/>
        <v>4899457.66</v>
      </c>
      <c r="LG22" s="753">
        <f t="shared" si="166"/>
        <v>0</v>
      </c>
      <c r="LH22" s="511">
        <f>[1]Субсидия_факт!OG20</f>
        <v>0</v>
      </c>
      <c r="LI22" s="890">
        <f>[1]Субсидия_факт!OM20</f>
        <v>0</v>
      </c>
      <c r="LJ22" s="511">
        <f>[1]Субсидия_факт!OS20</f>
        <v>0</v>
      </c>
      <c r="LK22" s="890">
        <f>[1]Субсидия_факт!OY20</f>
        <v>0</v>
      </c>
      <c r="LL22" s="756">
        <f>[1]Субсидия_факт!PE20</f>
        <v>0</v>
      </c>
      <c r="LM22" s="768">
        <f>[1]Субсидия_факт!PI20</f>
        <v>0</v>
      </c>
      <c r="LN22" s="753">
        <f t="shared" si="66"/>
        <v>0</v>
      </c>
      <c r="LO22" s="777"/>
      <c r="LP22" s="673"/>
      <c r="LQ22" s="610"/>
      <c r="LR22" s="776"/>
      <c r="LS22" s="610"/>
      <c r="LT22" s="776"/>
      <c r="LU22" s="753">
        <f t="shared" si="67"/>
        <v>13500000</v>
      </c>
      <c r="LV22" s="511">
        <f>[1]Субсидия_факт!OI20</f>
        <v>275000</v>
      </c>
      <c r="LW22" s="890">
        <f>[1]Субсидия_факт!OO20</f>
        <v>5225000</v>
      </c>
      <c r="LX22" s="513">
        <f>[1]Субсидия_факт!OU20</f>
        <v>400000</v>
      </c>
      <c r="LY22" s="751">
        <f>[1]Субсидия_факт!PA20</f>
        <v>7600000</v>
      </c>
      <c r="LZ22" s="754">
        <f t="shared" si="68"/>
        <v>13420008</v>
      </c>
      <c r="MA22" s="610">
        <v>275000</v>
      </c>
      <c r="MB22" s="776">
        <f>5500000-MA22</f>
        <v>5225000</v>
      </c>
      <c r="MC22" s="610">
        <v>396000.4</v>
      </c>
      <c r="MD22" s="673">
        <f>7920008-MC22</f>
        <v>7524007.5999999996</v>
      </c>
      <c r="ME22" s="652">
        <f t="shared" si="69"/>
        <v>0</v>
      </c>
      <c r="MF22" s="642">
        <f>'Проверочная  таблица'!LV22-MP22</f>
        <v>0</v>
      </c>
      <c r="MG22" s="678">
        <f>'Проверочная  таблица'!LW22-MQ22</f>
        <v>0</v>
      </c>
      <c r="MH22" s="765">
        <f>'Проверочная  таблица'!LY22-MR22</f>
        <v>0</v>
      </c>
      <c r="MI22" s="607">
        <f>'Проверочная  таблица'!LX22-MS22</f>
        <v>0</v>
      </c>
      <c r="MJ22" s="755">
        <f t="shared" si="70"/>
        <v>0</v>
      </c>
      <c r="MK22" s="749">
        <f>'Проверочная  таблица'!MA22-MU22</f>
        <v>0</v>
      </c>
      <c r="ML22" s="671">
        <f>'Проверочная  таблица'!MB22-MV22</f>
        <v>0</v>
      </c>
      <c r="MM22" s="768">
        <f>'Проверочная  таблица'!MD22-MW22</f>
        <v>0</v>
      </c>
      <c r="MN22" s="756">
        <f>'Проверочная  таблица'!MC22-MX22</f>
        <v>0</v>
      </c>
      <c r="MO22" s="779">
        <f t="shared" si="71"/>
        <v>13500000</v>
      </c>
      <c r="MP22" s="511">
        <f>[1]Субсидия_факт!OK20</f>
        <v>275000</v>
      </c>
      <c r="MQ22" s="890">
        <f>[1]Субсидия_факт!OQ20</f>
        <v>5225000</v>
      </c>
      <c r="MR22" s="890">
        <f>[1]Субсидия_факт!PC20</f>
        <v>7600000</v>
      </c>
      <c r="MS22" s="511">
        <f>[1]Субсидия_факт!OW20</f>
        <v>400000</v>
      </c>
      <c r="MT22" s="755">
        <f t="shared" si="72"/>
        <v>13420008</v>
      </c>
      <c r="MU22" s="749">
        <f t="shared" si="167"/>
        <v>275000</v>
      </c>
      <c r="MV22" s="671">
        <f t="shared" si="168"/>
        <v>5225000</v>
      </c>
      <c r="MW22" s="768">
        <f t="shared" si="169"/>
        <v>7524007.5999999996</v>
      </c>
      <c r="MX22" s="756">
        <f t="shared" si="73"/>
        <v>396000.4</v>
      </c>
      <c r="MY22" s="524">
        <f>SUM('Проверочная  таблица'!MZ22:MZ22)</f>
        <v>0</v>
      </c>
      <c r="MZ22" s="333"/>
      <c r="NA22" s="524">
        <f>SUM('Проверочная  таблица'!NB22:NB22)</f>
        <v>0</v>
      </c>
      <c r="NB22" s="462"/>
      <c r="NC22" s="524">
        <f t="shared" si="74"/>
        <v>0</v>
      </c>
      <c r="ND22" s="452">
        <f>[1]Субсидия_факт!IU20</f>
        <v>0</v>
      </c>
      <c r="NE22" s="686">
        <f>[1]Субсидия_факт!IY20</f>
        <v>0</v>
      </c>
      <c r="NF22" s="517">
        <f t="shared" si="75"/>
        <v>0</v>
      </c>
      <c r="NG22" s="529"/>
      <c r="NH22" s="774"/>
      <c r="NI22" s="570">
        <f t="shared" si="76"/>
        <v>0</v>
      </c>
      <c r="NJ22" s="1000">
        <f>'Проверочная  таблица'!ND22-NP22</f>
        <v>0</v>
      </c>
      <c r="NK22" s="678">
        <f>'Проверочная  таблица'!NE22-NQ22</f>
        <v>0</v>
      </c>
      <c r="NL22" s="570">
        <f t="shared" si="77"/>
        <v>0</v>
      </c>
      <c r="NM22" s="476">
        <f>'Проверочная  таблица'!NG22-NS22</f>
        <v>0</v>
      </c>
      <c r="NN22" s="678">
        <f>'Проверочная  таблица'!NH22-NT22</f>
        <v>0</v>
      </c>
      <c r="NO22" s="633">
        <f t="shared" si="78"/>
        <v>0</v>
      </c>
      <c r="NP22" s="452">
        <f>[1]Субсидия_факт!IW20</f>
        <v>0</v>
      </c>
      <c r="NQ22" s="686">
        <f>[1]Субсидия_факт!JA20</f>
        <v>0</v>
      </c>
      <c r="NR22" s="570">
        <f t="shared" si="79"/>
        <v>0</v>
      </c>
      <c r="NS22" s="476"/>
      <c r="NT22" s="710"/>
      <c r="NU22" s="517">
        <f t="shared" si="170"/>
        <v>0</v>
      </c>
      <c r="NV22" s="332">
        <f>[1]Субсидия_факт!FA20</f>
        <v>0</v>
      </c>
      <c r="NW22" s="786">
        <f>[1]Субсидия_факт!FC20</f>
        <v>0</v>
      </c>
      <c r="NX22" s="517">
        <f t="shared" si="171"/>
        <v>0</v>
      </c>
      <c r="NY22" s="462"/>
      <c r="NZ22" s="682"/>
      <c r="OA22" s="517">
        <f t="shared" si="172"/>
        <v>0</v>
      </c>
      <c r="OD22" s="517">
        <f t="shared" si="173"/>
        <v>0</v>
      </c>
      <c r="OG22" s="526">
        <f t="shared" si="174"/>
        <v>0</v>
      </c>
      <c r="OJ22" s="526">
        <f t="shared" si="175"/>
        <v>0</v>
      </c>
      <c r="OM22" s="526">
        <f t="shared" si="176"/>
        <v>0</v>
      </c>
      <c r="OP22" s="526">
        <f t="shared" si="177"/>
        <v>0</v>
      </c>
      <c r="OS22" s="524">
        <f t="shared" si="80"/>
        <v>0</v>
      </c>
      <c r="OT22" s="498">
        <f>[1]Субсидия_факт!JO20</f>
        <v>0</v>
      </c>
      <c r="OU22" s="786">
        <f>[1]Субсидия_факт!JQ20</f>
        <v>0</v>
      </c>
      <c r="OV22" s="332">
        <f>[1]Субсидия_факт!KS20</f>
        <v>0</v>
      </c>
      <c r="OW22" s="686">
        <f>[1]Субсидия_факт!KY20</f>
        <v>0</v>
      </c>
      <c r="OX22" s="498">
        <f>[1]Субсидия_факт!KG20</f>
        <v>0</v>
      </c>
      <c r="OY22" s="786">
        <f>[1]Субсидия_факт!KM20</f>
        <v>0</v>
      </c>
      <c r="OZ22" s="517">
        <f t="shared" si="81"/>
        <v>0</v>
      </c>
      <c r="PA22" s="462"/>
      <c r="PB22" s="682"/>
      <c r="PC22" s="333"/>
      <c r="PD22" s="704"/>
      <c r="PE22" s="462"/>
      <c r="PF22" s="794"/>
      <c r="PG22" s="524">
        <f t="shared" si="82"/>
        <v>0</v>
      </c>
      <c r="PH22" s="498">
        <f>[1]Субсидия_факт!JC20</f>
        <v>0</v>
      </c>
      <c r="PI22" s="931">
        <f>[1]Субсидия_факт!JG20</f>
        <v>0</v>
      </c>
      <c r="PJ22" s="476">
        <f>[1]Субсидия_факт!JS20</f>
        <v>0</v>
      </c>
      <c r="PK22" s="678">
        <f>[1]Субсидия_факт!JW20</f>
        <v>0</v>
      </c>
      <c r="PL22" s="498">
        <f>[1]Субсидия_факт!KU20</f>
        <v>0</v>
      </c>
      <c r="PM22" s="791">
        <f>[1]Субсидия_факт!LA20</f>
        <v>0</v>
      </c>
      <c r="PN22" s="498">
        <f>[1]Субсидия_факт!KI20</f>
        <v>0</v>
      </c>
      <c r="PO22" s="686">
        <f>[1]Субсидия_факт!KO20</f>
        <v>0</v>
      </c>
      <c r="PP22" s="517">
        <f t="shared" si="83"/>
        <v>0</v>
      </c>
      <c r="PQ22" s="529"/>
      <c r="PR22" s="771"/>
      <c r="PS22" s="462"/>
      <c r="PT22" s="682"/>
      <c r="PU22" s="529"/>
      <c r="PV22" s="774"/>
      <c r="PW22" s="529"/>
      <c r="PX22" s="682"/>
      <c r="PY22" s="570">
        <f t="shared" si="84"/>
        <v>0</v>
      </c>
      <c r="PZ22" s="452">
        <f t="shared" si="85"/>
        <v>0</v>
      </c>
      <c r="QA22" s="686">
        <f t="shared" si="86"/>
        <v>0</v>
      </c>
      <c r="QB22" s="430">
        <f t="shared" si="87"/>
        <v>0</v>
      </c>
      <c r="QC22" s="686">
        <f t="shared" si="88"/>
        <v>0</v>
      </c>
      <c r="QD22" s="332">
        <f t="shared" si="89"/>
        <v>0</v>
      </c>
      <c r="QE22" s="686">
        <f t="shared" si="90"/>
        <v>0</v>
      </c>
      <c r="QF22" s="430">
        <f t="shared" si="91"/>
        <v>0</v>
      </c>
      <c r="QG22" s="686">
        <f t="shared" si="92"/>
        <v>0</v>
      </c>
      <c r="QH22" s="633">
        <f t="shared" si="93"/>
        <v>0</v>
      </c>
      <c r="QI22" s="452">
        <f t="shared" si="94"/>
        <v>0</v>
      </c>
      <c r="QJ22" s="686">
        <f t="shared" si="95"/>
        <v>0</v>
      </c>
      <c r="QK22" s="430">
        <f t="shared" si="96"/>
        <v>0</v>
      </c>
      <c r="QL22" s="686">
        <f t="shared" si="97"/>
        <v>0</v>
      </c>
      <c r="QM22" s="332">
        <f t="shared" si="98"/>
        <v>0</v>
      </c>
      <c r="QN22" s="786">
        <f t="shared" si="99"/>
        <v>0</v>
      </c>
      <c r="QO22" s="332">
        <f t="shared" si="100"/>
        <v>0</v>
      </c>
      <c r="QP22" s="686">
        <f t="shared" si="101"/>
        <v>0</v>
      </c>
      <c r="QQ22" s="570">
        <f t="shared" si="102"/>
        <v>0</v>
      </c>
      <c r="QR22" s="430">
        <f>[1]Субсидия_факт!JE20</f>
        <v>0</v>
      </c>
      <c r="QS22" s="931">
        <f>[1]Субсидия_факт!JI20</f>
        <v>0</v>
      </c>
      <c r="QT22" s="607">
        <f>[1]Субсидия_факт!JU20</f>
        <v>0</v>
      </c>
      <c r="QU22" s="678">
        <f>[1]Субсидия_факт!JY20</f>
        <v>0</v>
      </c>
      <c r="QV22" s="332">
        <f>[1]Субсидия_факт!KW20</f>
        <v>0</v>
      </c>
      <c r="QW22" s="791">
        <f>[1]Субсидия_факт!LC20</f>
        <v>0</v>
      </c>
      <c r="QX22" s="332">
        <f>[1]Субсидия_факт!KK20</f>
        <v>0</v>
      </c>
      <c r="QY22" s="686">
        <f>[1]Субсидия_факт!KQ20</f>
        <v>0</v>
      </c>
      <c r="QZ22" s="570">
        <f t="shared" si="103"/>
        <v>0</v>
      </c>
      <c r="RA22" s="530"/>
      <c r="RB22" s="678"/>
      <c r="RC22" s="462"/>
      <c r="RD22" s="682"/>
      <c r="RE22" s="530"/>
      <c r="RF22" s="794"/>
      <c r="RG22" s="529"/>
      <c r="RH22" s="765"/>
      <c r="RI22" s="487">
        <f>[1]Субсидия_факт!PW20</f>
        <v>32710492.950000003</v>
      </c>
      <c r="RJ22" s="1240">
        <f t="shared" si="178"/>
        <v>32710492.950000003</v>
      </c>
      <c r="RK22" s="522">
        <f>'Прочая  субсидия_МР  и  ГО'!B18</f>
        <v>19887858.43</v>
      </c>
      <c r="RL22" s="517">
        <f>'Прочая  субсидия_МР  и  ГО'!C18</f>
        <v>19281203.23</v>
      </c>
      <c r="RM22" s="522">
        <f>'Прочая  субсидия_БП'!B18</f>
        <v>96343346.370000005</v>
      </c>
      <c r="RN22" s="524">
        <f>'Прочая  субсидия_БП'!C18</f>
        <v>69702548.349999994</v>
      </c>
      <c r="RO22" s="565">
        <f>'Прочая  субсидия_БП'!D18</f>
        <v>29059448.390000001</v>
      </c>
      <c r="RP22" s="564">
        <f>'Прочая  субсидия_БП'!E18</f>
        <v>20622353.09</v>
      </c>
      <c r="RQ22" s="571">
        <f>'Прочая  субсидия_БП'!F18</f>
        <v>67283897.980000004</v>
      </c>
      <c r="RR22" s="564">
        <f>'Прочая  субсидия_БП'!G18</f>
        <v>57041848.980000004</v>
      </c>
      <c r="RS22" s="487">
        <f t="shared" si="104"/>
        <v>397804723</v>
      </c>
      <c r="RT22" s="452">
        <f>'Проверочная  таблица'!SR22+'Проверочная  таблица'!RY22+'Проверочная  таблица'!SA22+'Проверочная  таблица'!SC22</f>
        <v>391874324</v>
      </c>
      <c r="RU22" s="332">
        <f>'Проверочная  таблица'!SS22+'Проверочная  таблица'!SE22+'Проверочная  таблица'!SK22+'Проверочная  таблица'!SG22+'Проверочная  таблица'!SO22+'Проверочная  таблица'!SI22+SM22</f>
        <v>5930399</v>
      </c>
      <c r="RV22" s="517">
        <f t="shared" si="105"/>
        <v>328579877.13999999</v>
      </c>
      <c r="RW22" s="430">
        <f>'Проверочная  таблица'!SU22+'Проверочная  таблица'!RZ22+'Проверочная  таблица'!SB22+'Проверочная  таблица'!SD22</f>
        <v>324091500</v>
      </c>
      <c r="RX22" s="332">
        <f>'Проверочная  таблица'!SV22+'Проверочная  таблица'!SF22+'Проверочная  таблица'!SL22+'Проверочная  таблица'!SH22+'Проверочная  таблица'!SP22+'Проверочная  таблица'!SJ22+SN22</f>
        <v>4488377.1399999997</v>
      </c>
      <c r="RY22" s="559">
        <f>'Субвенция  на  полномочия'!B18</f>
        <v>372348324</v>
      </c>
      <c r="RZ22" s="454">
        <f>'Субвенция  на  полномочия'!C18</f>
        <v>307331500</v>
      </c>
      <c r="SA22" s="732">
        <f>[1]Субвенция_факт!P19*1000</f>
        <v>12896000</v>
      </c>
      <c r="SB22" s="1389">
        <v>10800000</v>
      </c>
      <c r="SC22" s="732">
        <f>[1]Субвенция_факт!K19*1000</f>
        <v>5560000</v>
      </c>
      <c r="SD22" s="1389">
        <v>4890000</v>
      </c>
      <c r="SE22" s="732">
        <f>[1]Субвенция_факт!AD19*1000</f>
        <v>1765900</v>
      </c>
      <c r="SF22" s="735">
        <v>1041471.01</v>
      </c>
      <c r="SG22" s="732">
        <f>[1]Субвенция_факт!AE19*1000</f>
        <v>4000</v>
      </c>
      <c r="SH22" s="735"/>
      <c r="SI22" s="732">
        <f>[1]Субвенция_факт!E19*1000</f>
        <v>1198634.0000000002</v>
      </c>
      <c r="SJ22" s="735">
        <v>1191816</v>
      </c>
      <c r="SK22" s="732">
        <f>[1]Субвенция_факт!F19*1000</f>
        <v>0</v>
      </c>
      <c r="SL22" s="866"/>
      <c r="SM22" s="163">
        <f>[1]Субвенция_факт!G19*1000</f>
        <v>611865</v>
      </c>
      <c r="SN22" s="867">
        <v>595908</v>
      </c>
      <c r="SO22" s="732">
        <f>[1]Субвенция_факт!H19*1000</f>
        <v>0</v>
      </c>
      <c r="SP22" s="735"/>
      <c r="SQ22" s="524">
        <f t="shared" si="106"/>
        <v>3420000</v>
      </c>
      <c r="SR22" s="865">
        <f>[1]Субвенция_факт!AC19*1000</f>
        <v>1070000</v>
      </c>
      <c r="SS22" s="1040">
        <f>[1]Субвенция_факт!AB19*1000</f>
        <v>2350000</v>
      </c>
      <c r="ST22" s="517">
        <f t="shared" si="107"/>
        <v>2729182.13</v>
      </c>
      <c r="SU22" s="1503">
        <v>1070000</v>
      </c>
      <c r="SV22" s="1506">
        <v>1659182.13</v>
      </c>
      <c r="SW22" s="271">
        <f>'Проверочная  таблица'!VC22+'Проверочная  таблица'!UY22+'Проверочная  таблица'!TQ22+'Проверочная  таблица'!TU22+SY22+'Проверочная  таблица'!US22+UC22+UI22</f>
        <v>190000000</v>
      </c>
      <c r="SX22" s="163">
        <f>'Проверочная  таблица'!VE22+'Проверочная  таблица'!VA22+'Проверочная  таблица'!TS22+'Проверочная  таблица'!TW22+TH22+'Проверочная  таблица'!UV22+UF22+UL22</f>
        <v>140761606.75999999</v>
      </c>
      <c r="SY22" s="1129">
        <f t="shared" si="108"/>
        <v>0</v>
      </c>
      <c r="SZ22" s="1114">
        <f>'[1]Иные межбюджетные трансферты'!O20</f>
        <v>0</v>
      </c>
      <c r="TA22" s="1111">
        <f>'[1]Иные межбюджетные трансферты'!Q20</f>
        <v>0</v>
      </c>
      <c r="TB22" s="879">
        <f>'[1]Иные межбюджетные трансферты'!I20</f>
        <v>0</v>
      </c>
      <c r="TC22" s="1111">
        <f>'[1]Иные межбюджетные трансферты'!K20</f>
        <v>0</v>
      </c>
      <c r="TD22" s="879">
        <f>'[1]Иные межбюджетные трансферты'!S20</f>
        <v>0</v>
      </c>
      <c r="TE22" s="958">
        <f>'[1]Иные межбюджетные трансферты'!U20</f>
        <v>0</v>
      </c>
      <c r="TF22" s="1236">
        <f>'[1]Иные межбюджетные трансферты'!M20</f>
        <v>0</v>
      </c>
      <c r="TG22" s="1231">
        <f>'[1]Иные межбюджетные трансферты'!W20</f>
        <v>0</v>
      </c>
      <c r="TH22" s="991">
        <f t="shared" si="109"/>
        <v>0</v>
      </c>
      <c r="TI22" s="984"/>
      <c r="TJ22" s="982"/>
      <c r="TK22" s="879"/>
      <c r="TL22" s="958"/>
      <c r="TM22" s="879"/>
      <c r="TN22" s="958"/>
      <c r="TO22" s="984"/>
      <c r="TP22" s="1269"/>
      <c r="TQ22" s="973">
        <f t="shared" si="179"/>
        <v>0</v>
      </c>
      <c r="TR22" s="1458">
        <f>'[1]Иные межбюджетные трансферты'!Y20</f>
        <v>0</v>
      </c>
      <c r="TS22" s="973">
        <f t="shared" si="179"/>
        <v>0</v>
      </c>
      <c r="TT22" s="958"/>
      <c r="TU22" s="973">
        <f t="shared" ref="TU22" si="199">TV22</f>
        <v>190000000</v>
      </c>
      <c r="TV22" s="958">
        <f>'[1]Иные межбюджетные трансферты'!AA20</f>
        <v>190000000</v>
      </c>
      <c r="TW22" s="973">
        <f t="shared" si="110"/>
        <v>140761606.75999999</v>
      </c>
      <c r="TX22" s="1460">
        <v>140761606.75999999</v>
      </c>
      <c r="TY22" s="976">
        <f t="shared" si="111"/>
        <v>0</v>
      </c>
      <c r="TZ22" s="970">
        <f t="shared" si="112"/>
        <v>0</v>
      </c>
      <c r="UA22" s="1266">
        <f t="shared" si="181"/>
        <v>190000000</v>
      </c>
      <c r="UB22" s="976">
        <f t="shared" si="182"/>
        <v>140761606.75999999</v>
      </c>
      <c r="UC22" s="973">
        <f t="shared" si="113"/>
        <v>0</v>
      </c>
      <c r="UD22" s="1272">
        <f>'[1]Иные межбюджетные трансферты'!AE20</f>
        <v>0</v>
      </c>
      <c r="UE22" s="1145">
        <f>'[1]Иные межбюджетные трансферты'!AK20</f>
        <v>0</v>
      </c>
      <c r="UF22" s="973">
        <f t="shared" si="114"/>
        <v>0</v>
      </c>
      <c r="UG22" s="958"/>
      <c r="UH22" s="958"/>
      <c r="UI22" s="973">
        <f t="shared" si="115"/>
        <v>0</v>
      </c>
      <c r="UJ22" s="1272">
        <f>'[1]Иные межбюджетные трансферты'!AG20</f>
        <v>0</v>
      </c>
      <c r="UK22" s="1145">
        <f>'[1]Иные межбюджетные трансферты'!AM20</f>
        <v>0</v>
      </c>
      <c r="UL22" s="973">
        <f t="shared" si="116"/>
        <v>0</v>
      </c>
      <c r="UM22" s="958"/>
      <c r="UN22" s="1111"/>
      <c r="UO22" s="976">
        <f t="shared" si="183"/>
        <v>0</v>
      </c>
      <c r="UP22" s="970">
        <f t="shared" si="184"/>
        <v>0</v>
      </c>
      <c r="UQ22" s="970">
        <f t="shared" si="185"/>
        <v>0</v>
      </c>
      <c r="UR22" s="1462">
        <f t="shared" si="186"/>
        <v>0</v>
      </c>
      <c r="US22" s="1263">
        <f t="shared" si="117"/>
        <v>0</v>
      </c>
      <c r="UT22" s="1040">
        <f>'[1]Иные межбюджетные трансферты'!E20</f>
        <v>0</v>
      </c>
      <c r="UU22" s="1126">
        <f>'[1]Иные межбюджетные трансферты'!G20</f>
        <v>0</v>
      </c>
      <c r="UV22" s="733">
        <f t="shared" si="118"/>
        <v>0</v>
      </c>
      <c r="UW22" s="1040"/>
      <c r="UX22" s="1126"/>
      <c r="UY22" s="880">
        <f t="shared" si="119"/>
        <v>0</v>
      </c>
      <c r="UZ22" s="958"/>
      <c r="VA22" s="1039">
        <f t="shared" si="120"/>
        <v>0</v>
      </c>
      <c r="VB22" s="890"/>
      <c r="VC22" s="510">
        <f t="shared" si="121"/>
        <v>0</v>
      </c>
      <c r="VD22" s="874">
        <f>'[1]Иные межбюджетные трансферты'!AS20</f>
        <v>0</v>
      </c>
      <c r="VE22" s="510">
        <f t="shared" si="122"/>
        <v>0</v>
      </c>
      <c r="VF22" s="513"/>
      <c r="VG22" s="886">
        <f t="shared" si="123"/>
        <v>0</v>
      </c>
      <c r="VH22" s="511">
        <f>'Проверочная  таблица'!VD22-VL22</f>
        <v>0</v>
      </c>
      <c r="VI22" s="886">
        <f t="shared" si="124"/>
        <v>0</v>
      </c>
      <c r="VJ22" s="511">
        <f>'Проверочная  таблица'!VF22-VN22</f>
        <v>0</v>
      </c>
      <c r="VK22" s="886">
        <f t="shared" si="125"/>
        <v>0</v>
      </c>
      <c r="VL22" s="874">
        <f>'[1]Иные межбюджетные трансферты'!AU20</f>
        <v>0</v>
      </c>
      <c r="VM22" s="1038">
        <f t="shared" si="126"/>
        <v>0</v>
      </c>
      <c r="VN22" s="513"/>
      <c r="VO22" s="517">
        <f>VQ22+'Проверочная  таблица'!VY22+VU22+'Проверочная  таблица'!WC22+VW22+'Проверочная  таблица'!WE22</f>
        <v>-87300000</v>
      </c>
      <c r="VP22" s="517">
        <f>VR22+'Проверочная  таблица'!VZ22+VV22+'Проверочная  таблица'!WD22+VX22+'Проверочная  таблица'!WF22</f>
        <v>-28862244.899999999</v>
      </c>
      <c r="VQ22" s="531">
        <v>13000000</v>
      </c>
      <c r="VR22" s="531">
        <v>13000000</v>
      </c>
      <c r="VS22" s="531">
        <v>16400000</v>
      </c>
      <c r="VT22" s="531">
        <v>14887755.1</v>
      </c>
      <c r="VU22" s="528">
        <f t="shared" si="127"/>
        <v>0</v>
      </c>
      <c r="VV22" s="526">
        <f t="shared" si="128"/>
        <v>0</v>
      </c>
      <c r="VW22" s="532">
        <v>16400000</v>
      </c>
      <c r="VX22" s="521">
        <v>14887755.1</v>
      </c>
      <c r="VY22" s="531">
        <v>-57500000</v>
      </c>
      <c r="VZ22" s="531">
        <v>-23750000</v>
      </c>
      <c r="WA22" s="531">
        <f>-600000-400000-47300000-3900000-7000000</f>
        <v>-59200000</v>
      </c>
      <c r="WB22" s="531">
        <f>-600000-400000-32000000</f>
        <v>-33000000</v>
      </c>
      <c r="WC22" s="528">
        <f t="shared" si="129"/>
        <v>-1000000</v>
      </c>
      <c r="WD22" s="526">
        <f t="shared" si="130"/>
        <v>-1000000</v>
      </c>
      <c r="WE22" s="521">
        <f>-41800000-5500000-3900000-7000000</f>
        <v>-58200000</v>
      </c>
      <c r="WF22" s="521">
        <v>-32000000</v>
      </c>
      <c r="WG22" s="1356">
        <f>'Проверочная  таблица'!VY22+'Проверочная  таблица'!WA22</f>
        <v>-116700000</v>
      </c>
      <c r="WH22" s="1356">
        <f>'Проверочная  таблица'!VZ22+'Проверочная  таблица'!WB22</f>
        <v>-56750000</v>
      </c>
      <c r="WI22" s="1481"/>
    </row>
    <row r="23" spans="1:607" s="329" customFormat="1" ht="25.5" customHeight="1" x14ac:dyDescent="0.3">
      <c r="A23" s="338" t="s">
        <v>99</v>
      </c>
      <c r="B23" s="524">
        <f>D23+AI23+'Проверочная  таблица'!RS23+'Проверочная  таблица'!SW23</f>
        <v>406403431.61000001</v>
      </c>
      <c r="C23" s="517">
        <f>E23+'Проверочная  таблица'!RV23+AJ23+'Проверочная  таблица'!SX23</f>
        <v>327028293.18000001</v>
      </c>
      <c r="D23" s="522">
        <f t="shared" si="0"/>
        <v>82784492</v>
      </c>
      <c r="E23" s="524">
        <f t="shared" si="1"/>
        <v>70749861</v>
      </c>
      <c r="F23" s="1062">
        <f>'[1]Дотация  из  ОБ_факт'!I19+'[1]Дотация  из  ОБ_факт'!Q19</f>
        <v>23141000</v>
      </c>
      <c r="G23" s="1366">
        <v>21546575</v>
      </c>
      <c r="H23" s="563">
        <f>'[1]Дотация  из  ОБ_факт'!K19</f>
        <v>12987700</v>
      </c>
      <c r="I23" s="1366">
        <v>10076048</v>
      </c>
      <c r="J23" s="564">
        <f t="shared" si="2"/>
        <v>12987700</v>
      </c>
      <c r="K23" s="571">
        <f t="shared" si="3"/>
        <v>10076048</v>
      </c>
      <c r="L23" s="883">
        <f>'[1]Дотация  из  ОБ_факт'!O19</f>
        <v>0</v>
      </c>
      <c r="M23" s="745"/>
      <c r="N23" s="563">
        <f>'[1]Дотация  из  ОБ_факт'!U19</f>
        <v>35982492</v>
      </c>
      <c r="O23" s="1366">
        <v>31221873</v>
      </c>
      <c r="P23" s="784">
        <f>'[1]Дотация  из  ОБ_факт'!W19</f>
        <v>10673300</v>
      </c>
      <c r="Q23" s="1366">
        <v>7905365</v>
      </c>
      <c r="R23" s="571">
        <f t="shared" si="4"/>
        <v>10673300</v>
      </c>
      <c r="S23" s="564">
        <f t="shared" si="5"/>
        <v>7905365</v>
      </c>
      <c r="T23" s="1059">
        <f>'[1]Дотация  из  ОБ_факт'!AA19</f>
        <v>0</v>
      </c>
      <c r="U23" s="331"/>
      <c r="V23" s="784">
        <f>'[1]Дотация  из  ОБ_факт'!AE19+'[1]Дотация  из  ОБ_факт'!AG19+'[1]Дотация  из  ОБ_факт'!AK19</f>
        <v>0</v>
      </c>
      <c r="W23" s="163">
        <f t="shared" si="6"/>
        <v>0</v>
      </c>
      <c r="X23" s="567"/>
      <c r="Y23" s="566"/>
      <c r="Z23" s="567"/>
      <c r="AA23" s="563">
        <f>'[1]Дотация  из  ОБ_факт'!AC19+'[1]Дотация  из  ОБ_факт'!AI19</f>
        <v>0</v>
      </c>
      <c r="AB23" s="165">
        <f t="shared" si="7"/>
        <v>0</v>
      </c>
      <c r="AC23" s="566"/>
      <c r="AD23" s="567"/>
      <c r="AE23" s="564">
        <f t="shared" si="8"/>
        <v>0</v>
      </c>
      <c r="AF23" s="571">
        <f t="shared" si="9"/>
        <v>0</v>
      </c>
      <c r="AG23" s="565">
        <f>'[1]Дотация  из  ОБ_факт'!AI19</f>
        <v>0</v>
      </c>
      <c r="AH23" s="1370">
        <f t="shared" si="131"/>
        <v>0</v>
      </c>
      <c r="AI23" s="559">
        <f>'Проверочная  таблица'!KI23+NU23+OA23+'Проверочная  таблица'!RK23+'Проверочная  таблица'!RM23+DE23+DG23+DM23+DO23+'Проверочная  таблица'!MY23+'Проверочная  таблица'!NC23+CG23+CQ23+'Проверочная  таблица'!HE23+'Проверочная  таблица'!HW23+'Проверочная  таблица'!ES23+'Проверочная  таблица'!JY23+DU23+'Проверочная  таблица'!GA23+'Проверочная  таблица'!GG23+'Проверочная  таблица'!LG23+'Проверочная  таблица'!LU23+FU23+'Проверочная  таблица'!KU23+RI23+OS23+PG23+EK23+AK23+AW23+FO23+FE23+GY23+EY23</f>
        <v>78805998.609999999</v>
      </c>
      <c r="AJ23" s="487">
        <f>'Проверочная  таблица'!KO23+NX23+OD23+'Проверочная  таблица'!RL23+'Проверочная  таблица'!RN23+DF23+DH23+DN23+DP23+'Проверочная  таблица'!NA23+'Проверочная  таблица'!NF23+CL23+CV23+'Проверочная  таблица'!HN23+'Проверочная  таблица'!IF23+'Проверочная  таблица'!EV23+'Проверочная  таблица'!KD23+EC23+'Проверочная  таблица'!GD23+'Проверочная  таблица'!GJ23+'Проверочная  таблица'!LN23+'Проверочная  таблица'!LZ23+FX23+'Проверочная  таблица'!KY23+FR23+RJ23+PP23+OZ23+EM23+AQ23+BC23+FJ23+HB23+FB23</f>
        <v>65659974.419999994</v>
      </c>
      <c r="AK23" s="487">
        <f t="shared" si="10"/>
        <v>0</v>
      </c>
      <c r="AL23" s="332">
        <f>[1]Субсидия_факт!CO21</f>
        <v>0</v>
      </c>
      <c r="AM23" s="523">
        <f>[1]Субсидия_факт!FK21</f>
        <v>0</v>
      </c>
      <c r="AN23" s="498">
        <f>[1]Субсидия_факт!FW21</f>
        <v>0</v>
      </c>
      <c r="AO23" s="523">
        <f>[1]Субсидия_факт!KA21</f>
        <v>0</v>
      </c>
      <c r="AP23" s="332">
        <f>[1]Субсидия_факт!LE21</f>
        <v>0</v>
      </c>
      <c r="AQ23" s="487">
        <f t="shared" si="11"/>
        <v>0</v>
      </c>
      <c r="AR23" s="462"/>
      <c r="AS23" s="462"/>
      <c r="AT23" s="462"/>
      <c r="AU23" s="462"/>
      <c r="AV23" s="462"/>
      <c r="AW23" s="487">
        <f t="shared" si="132"/>
        <v>0</v>
      </c>
      <c r="AX23" s="452">
        <f>[1]Субсидия_факт!CQ21</f>
        <v>0</v>
      </c>
      <c r="AY23" s="332">
        <f>[1]Субсидия_факт!FO21</f>
        <v>0</v>
      </c>
      <c r="AZ23" s="476">
        <f>[1]Субсидия_факт!JK21</f>
        <v>0</v>
      </c>
      <c r="BA23" s="496">
        <f>[1]Субсидия_факт!KC21</f>
        <v>0</v>
      </c>
      <c r="BB23" s="498">
        <f>[1]Субсидия_факт!LG21</f>
        <v>0</v>
      </c>
      <c r="BC23" s="487">
        <f t="shared" si="133"/>
        <v>0</v>
      </c>
      <c r="BD23" s="529"/>
      <c r="BE23" s="529"/>
      <c r="BF23" s="333"/>
      <c r="BG23" s="530"/>
      <c r="BH23" s="529"/>
      <c r="BI23" s="657">
        <f t="shared" si="134"/>
        <v>0</v>
      </c>
      <c r="BJ23" s="1025">
        <f t="shared" si="12"/>
        <v>0</v>
      </c>
      <c r="BK23" s="452">
        <f t="shared" si="13"/>
        <v>0</v>
      </c>
      <c r="BL23" s="452">
        <f t="shared" si="14"/>
        <v>0</v>
      </c>
      <c r="BM23" s="332">
        <f t="shared" si="15"/>
        <v>0</v>
      </c>
      <c r="BN23" s="488">
        <f t="shared" si="16"/>
        <v>0</v>
      </c>
      <c r="BO23" s="657">
        <f t="shared" si="135"/>
        <v>0</v>
      </c>
      <c r="BP23" s="607">
        <f t="shared" si="17"/>
        <v>0</v>
      </c>
      <c r="BQ23" s="496">
        <f t="shared" si="18"/>
        <v>0</v>
      </c>
      <c r="BR23" s="332">
        <f t="shared" si="19"/>
        <v>0</v>
      </c>
      <c r="BS23" s="430">
        <f t="shared" si="20"/>
        <v>0</v>
      </c>
      <c r="BT23" s="332">
        <f t="shared" si="21"/>
        <v>0</v>
      </c>
      <c r="BU23" s="657">
        <f t="shared" si="136"/>
        <v>0</v>
      </c>
      <c r="BV23" s="452">
        <f>[1]Субсидия_факт!CS21</f>
        <v>0</v>
      </c>
      <c r="BW23" s="332">
        <f>[1]Субсидия_факт!FQ21</f>
        <v>0</v>
      </c>
      <c r="BX23" s="476">
        <f>[1]Субсидия_факт!JM21</f>
        <v>0</v>
      </c>
      <c r="BY23" s="430">
        <f>[1]Субсидия_факт!KE21</f>
        <v>0</v>
      </c>
      <c r="BZ23" s="332">
        <f>[1]Субсидия_факт!LI21</f>
        <v>0</v>
      </c>
      <c r="CA23" s="659">
        <f t="shared" si="137"/>
        <v>0</v>
      </c>
      <c r="CB23" s="782"/>
      <c r="CC23" s="529"/>
      <c r="CD23" s="462"/>
      <c r="CE23" s="529"/>
      <c r="CF23" s="529"/>
      <c r="CG23" s="517">
        <f t="shared" si="22"/>
        <v>14230666</v>
      </c>
      <c r="CH23" s="430">
        <f>[1]Субсидия_факт!LM21</f>
        <v>0</v>
      </c>
      <c r="CI23" s="452">
        <f>[1]Субсидия_факт!LS21</f>
        <v>14230666</v>
      </c>
      <c r="CJ23" s="332">
        <f>[1]Субсидия_факт!ME21</f>
        <v>0</v>
      </c>
      <c r="CK23" s="511">
        <f>[1]Субсидия_факт!MK21</f>
        <v>0</v>
      </c>
      <c r="CL23" s="517">
        <f t="shared" si="23"/>
        <v>12329009.6</v>
      </c>
      <c r="CM23" s="529"/>
      <c r="CN23" s="529">
        <v>12329009.6</v>
      </c>
      <c r="CO23" s="529"/>
      <c r="CP23" s="610"/>
      <c r="CQ23" s="517">
        <f t="shared" si="24"/>
        <v>0</v>
      </c>
      <c r="CR23" s="452">
        <f>[1]Субсидия_факт!LO21</f>
        <v>0</v>
      </c>
      <c r="CS23" s="452">
        <f>[1]Субсидия_факт!LU21</f>
        <v>0</v>
      </c>
      <c r="CT23" s="332">
        <f>[1]Субсидия_факт!MG21</f>
        <v>0</v>
      </c>
      <c r="CU23" s="511">
        <f>[1]Субсидия_факт!MM21</f>
        <v>0</v>
      </c>
      <c r="CV23" s="517">
        <f t="shared" si="25"/>
        <v>0</v>
      </c>
      <c r="CW23" s="529"/>
      <c r="CX23" s="530"/>
      <c r="CY23" s="782"/>
      <c r="CZ23" s="719"/>
      <c r="DA23" s="528">
        <f t="shared" si="138"/>
        <v>0</v>
      </c>
      <c r="DB23" s="526">
        <f t="shared" si="139"/>
        <v>0</v>
      </c>
      <c r="DC23" s="525">
        <f t="shared" si="140"/>
        <v>0</v>
      </c>
      <c r="DD23" s="528">
        <f t="shared" si="141"/>
        <v>0</v>
      </c>
      <c r="DE23" s="524">
        <f>[1]Субсидия_факт!GC21</f>
        <v>0</v>
      </c>
      <c r="DF23" s="330"/>
      <c r="DG23" s="522">
        <f>[1]Субсидия_факт!GE21</f>
        <v>0</v>
      </c>
      <c r="DH23" s="330"/>
      <c r="DI23" s="757">
        <f t="shared" si="142"/>
        <v>0</v>
      </c>
      <c r="DJ23" s="570">
        <f t="shared" si="143"/>
        <v>0</v>
      </c>
      <c r="DK23" s="757">
        <f>[1]Субсидия_факт!GG21</f>
        <v>0</v>
      </c>
      <c r="DL23" s="1387">
        <f t="shared" si="144"/>
        <v>0</v>
      </c>
      <c r="DM23" s="516">
        <f>[1]Субсидия_факт!GI21</f>
        <v>0</v>
      </c>
      <c r="DN23" s="604"/>
      <c r="DO23" s="517">
        <f>[1]Субсидия_факт!GK21</f>
        <v>0</v>
      </c>
      <c r="DP23" s="604"/>
      <c r="DQ23" s="526">
        <f t="shared" si="28"/>
        <v>0</v>
      </c>
      <c r="DR23" s="526">
        <f t="shared" si="29"/>
        <v>0</v>
      </c>
      <c r="DS23" s="653">
        <f t="shared" si="30"/>
        <v>0</v>
      </c>
      <c r="DT23" s="1385">
        <f t="shared" si="145"/>
        <v>0</v>
      </c>
      <c r="DU23" s="517">
        <f t="shared" si="31"/>
        <v>1014200</v>
      </c>
      <c r="DV23" s="523">
        <f>[1]Субсидия_факт!E21</f>
        <v>0</v>
      </c>
      <c r="DW23" s="1025">
        <f>[1]Субсидия_факт!G21</f>
        <v>0</v>
      </c>
      <c r="DX23" s="678">
        <f>[1]Субсидия_факт!I21</f>
        <v>0</v>
      </c>
      <c r="DY23" s="636">
        <f>[1]Субсидия_факт!K21</f>
        <v>0</v>
      </c>
      <c r="DZ23" s="786">
        <f>[1]Субсидия_факт!M21</f>
        <v>0</v>
      </c>
      <c r="EA23" s="498">
        <f>[1]Субсидия_факт!O21</f>
        <v>1014200</v>
      </c>
      <c r="EB23" s="636">
        <f>[1]Субсидия_факт!Q21</f>
        <v>0</v>
      </c>
      <c r="EC23" s="516">
        <f t="shared" si="32"/>
        <v>1014200</v>
      </c>
      <c r="ED23" s="530"/>
      <c r="EE23" s="529"/>
      <c r="EF23" s="682"/>
      <c r="EG23" s="529"/>
      <c r="EH23" s="682"/>
      <c r="EI23" s="530">
        <v>1014200</v>
      </c>
      <c r="EJ23" s="607">
        <f t="shared" si="146"/>
        <v>0</v>
      </c>
      <c r="EK23" s="516">
        <f t="shared" si="147"/>
        <v>0</v>
      </c>
      <c r="EL23" s="1223">
        <f>[1]Субсидия_факт!S21</f>
        <v>0</v>
      </c>
      <c r="EM23" s="524">
        <f t="shared" si="147"/>
        <v>0</v>
      </c>
      <c r="EN23" s="607">
        <f t="shared" si="148"/>
        <v>0</v>
      </c>
      <c r="EO23" s="570">
        <f t="shared" si="149"/>
        <v>0</v>
      </c>
      <c r="EP23" s="633">
        <f t="shared" si="150"/>
        <v>0</v>
      </c>
      <c r="EQ23" s="633">
        <f>[1]Субсидия_факт!U21</f>
        <v>0</v>
      </c>
      <c r="ER23" s="1245">
        <f t="shared" si="151"/>
        <v>0</v>
      </c>
      <c r="ES23" s="487">
        <f t="shared" si="33"/>
        <v>4181042</v>
      </c>
      <c r="ET23" s="511">
        <f>[1]Субсидия_факт!AU21</f>
        <v>1170692</v>
      </c>
      <c r="EU23" s="890">
        <f>[1]Субсидия_факт!AW21</f>
        <v>3010350</v>
      </c>
      <c r="EV23" s="454">
        <f t="shared" si="34"/>
        <v>0</v>
      </c>
      <c r="EW23" s="777"/>
      <c r="EX23" s="1095"/>
      <c r="EY23" s="487">
        <f t="shared" si="35"/>
        <v>0</v>
      </c>
      <c r="EZ23" s="511">
        <f>[1]Субсидия_факт!FY21</f>
        <v>0</v>
      </c>
      <c r="FA23" s="890">
        <f>[1]Субсидия_факт!GA21</f>
        <v>0</v>
      </c>
      <c r="FB23" s="454">
        <f t="shared" si="36"/>
        <v>0</v>
      </c>
      <c r="FC23" s="777"/>
      <c r="FD23" s="1095"/>
      <c r="FE23" s="517">
        <f t="shared" si="152"/>
        <v>0</v>
      </c>
      <c r="FF23" s="430">
        <f>[1]Субсидия_факт!W21</f>
        <v>0</v>
      </c>
      <c r="FG23" s="931">
        <f>[1]Субсидия_факт!Y21</f>
        <v>0</v>
      </c>
      <c r="FH23" s="452">
        <f>[1]Субсидия_факт!AA21</f>
        <v>0</v>
      </c>
      <c r="FI23" s="686">
        <f>[1]Субсидия_факт!AC21</f>
        <v>0</v>
      </c>
      <c r="FJ23" s="516">
        <f t="shared" si="153"/>
        <v>0</v>
      </c>
      <c r="FK23" s="462"/>
      <c r="FL23" s="682"/>
      <c r="FM23" s="462"/>
      <c r="FN23" s="682"/>
      <c r="FO23" s="487">
        <f t="shared" si="37"/>
        <v>0</v>
      </c>
      <c r="FP23" s="511">
        <f>[1]Субсидия_факт!AY21</f>
        <v>0</v>
      </c>
      <c r="FQ23" s="890">
        <f>[1]Субсидия_факт!BA21</f>
        <v>0</v>
      </c>
      <c r="FR23" s="454">
        <f t="shared" si="38"/>
        <v>0</v>
      </c>
      <c r="FS23" s="777"/>
      <c r="FT23" s="673"/>
      <c r="FU23" s="524">
        <f t="shared" si="154"/>
        <v>0</v>
      </c>
      <c r="FV23" s="498">
        <f>[1]Субсидия_факт!EE21</f>
        <v>0</v>
      </c>
      <c r="FW23" s="686">
        <f>[1]Субсидия_факт!EG21</f>
        <v>0</v>
      </c>
      <c r="FX23" s="517">
        <f t="shared" si="155"/>
        <v>0</v>
      </c>
      <c r="FY23" s="529"/>
      <c r="FZ23" s="704"/>
      <c r="GA23" s="559">
        <f t="shared" si="41"/>
        <v>1348233</v>
      </c>
      <c r="GB23" s="511">
        <f>[1]Субсидия_факт!DS21</f>
        <v>377507.09</v>
      </c>
      <c r="GC23" s="890">
        <f>[1]Субсидия_факт!DY21</f>
        <v>970725.91</v>
      </c>
      <c r="GD23" s="454">
        <f t="shared" si="42"/>
        <v>1348233</v>
      </c>
      <c r="GE23" s="1290">
        <f t="shared" si="197"/>
        <v>377507.09</v>
      </c>
      <c r="GF23" s="671">
        <f t="shared" si="197"/>
        <v>970725.91</v>
      </c>
      <c r="GG23" s="454">
        <f t="shared" si="43"/>
        <v>0</v>
      </c>
      <c r="GH23" s="511">
        <f>[1]Субсидия_факт!DU21</f>
        <v>0</v>
      </c>
      <c r="GI23" s="751">
        <f>[1]Субсидия_факт!EA21</f>
        <v>0</v>
      </c>
      <c r="GJ23" s="454">
        <f t="shared" si="44"/>
        <v>0</v>
      </c>
      <c r="GK23" s="610"/>
      <c r="GL23" s="706"/>
      <c r="GM23" s="659">
        <f t="shared" si="45"/>
        <v>0</v>
      </c>
      <c r="GN23" s="749">
        <f>'Проверочная  таблица'!GH23-'Проверочная  таблица'!GT23</f>
        <v>0</v>
      </c>
      <c r="GO23" s="671">
        <f>'Проверочная  таблица'!GI23-'Проверочная  таблица'!GU23</f>
        <v>0</v>
      </c>
      <c r="GP23" s="653">
        <f t="shared" si="46"/>
        <v>0</v>
      </c>
      <c r="GQ23" s="756">
        <f>'Проверочная  таблица'!GK23-'Проверочная  таблица'!GW23</f>
        <v>0</v>
      </c>
      <c r="GR23" s="768">
        <f>'Проверочная  таблица'!GL23-'Проверочная  таблица'!GX23</f>
        <v>0</v>
      </c>
      <c r="GS23" s="659">
        <f t="shared" si="47"/>
        <v>0</v>
      </c>
      <c r="GT23" s="511">
        <f>[1]Субсидия_факт!DW21</f>
        <v>0</v>
      </c>
      <c r="GU23" s="890">
        <f>[1]Субсидия_факт!EC21</f>
        <v>0</v>
      </c>
      <c r="GV23" s="659">
        <f t="shared" si="48"/>
        <v>0</v>
      </c>
      <c r="GW23" s="511"/>
      <c r="GX23" s="751"/>
      <c r="GY23" s="454">
        <f t="shared" si="49"/>
        <v>0</v>
      </c>
      <c r="GZ23" s="756">
        <f>[1]Субсидия_факт!AE21</f>
        <v>0</v>
      </c>
      <c r="HA23" s="671">
        <f>[1]Субсидия_факт!AG21</f>
        <v>0</v>
      </c>
      <c r="HB23" s="454">
        <f t="shared" si="50"/>
        <v>0</v>
      </c>
      <c r="HC23" s="756"/>
      <c r="HD23" s="671"/>
      <c r="HE23" s="747">
        <f t="shared" si="51"/>
        <v>104957.73</v>
      </c>
      <c r="HF23" s="756">
        <f>[1]Субсидия_факт!BW21</f>
        <v>0</v>
      </c>
      <c r="HG23" s="671">
        <f>[1]Субсидия_факт!CC21</f>
        <v>0</v>
      </c>
      <c r="HH23" s="511">
        <f>[1]Субсидия_факт!CU21</f>
        <v>94202.9</v>
      </c>
      <c r="HI23" s="890">
        <f>[1]Субсидия_факт!DA21</f>
        <v>10754.83</v>
      </c>
      <c r="HJ23" s="511">
        <f>[1]Субсидия_факт!DG21</f>
        <v>0</v>
      </c>
      <c r="HK23" s="890">
        <f>[1]Субсидия_факт!DM21</f>
        <v>0</v>
      </c>
      <c r="HL23" s="511">
        <f>[1]Субсидия_факт!EI21</f>
        <v>0</v>
      </c>
      <c r="HM23" s="751">
        <f>[1]Субсидия_факт!EO21</f>
        <v>0</v>
      </c>
      <c r="HN23" s="747">
        <f t="shared" si="52"/>
        <v>104957.73</v>
      </c>
      <c r="HO23" s="610"/>
      <c r="HP23" s="673"/>
      <c r="HQ23" s="756">
        <f t="shared" si="156"/>
        <v>94202.9</v>
      </c>
      <c r="HR23" s="768">
        <f t="shared" si="188"/>
        <v>10754.83</v>
      </c>
      <c r="HS23" s="756">
        <f t="shared" si="157"/>
        <v>0</v>
      </c>
      <c r="HT23" s="1480">
        <f t="shared" si="158"/>
        <v>0</v>
      </c>
      <c r="HU23" s="610"/>
      <c r="HV23" s="673"/>
      <c r="HW23" s="747">
        <f t="shared" si="53"/>
        <v>0</v>
      </c>
      <c r="HX23" s="756">
        <f>[1]Субсидия_факт!BY21</f>
        <v>0</v>
      </c>
      <c r="HY23" s="671">
        <f>[1]Субсидия_факт!CE21</f>
        <v>0</v>
      </c>
      <c r="HZ23" s="511">
        <f>[1]Субсидия_факт!CW21</f>
        <v>0</v>
      </c>
      <c r="IA23" s="751">
        <f>[1]Субсидия_факт!DC21</f>
        <v>0</v>
      </c>
      <c r="IB23" s="511">
        <f>[1]Субсидия_факт!DI21</f>
        <v>0</v>
      </c>
      <c r="IC23" s="890">
        <f>[1]Субсидия_факт!DO21</f>
        <v>0</v>
      </c>
      <c r="ID23" s="511">
        <f>[1]Субсидия_факт!EK21</f>
        <v>0</v>
      </c>
      <c r="IE23" s="751">
        <f>[1]Субсидия_факт!EQ21</f>
        <v>0</v>
      </c>
      <c r="IF23" s="747">
        <f t="shared" si="54"/>
        <v>0</v>
      </c>
      <c r="IG23" s="610"/>
      <c r="IH23" s="673"/>
      <c r="II23" s="749">
        <f t="shared" si="159"/>
        <v>0</v>
      </c>
      <c r="IJ23" s="671">
        <f t="shared" si="160"/>
        <v>0</v>
      </c>
      <c r="IK23" s="777"/>
      <c r="IL23" s="673"/>
      <c r="IM23" s="610"/>
      <c r="IN23" s="673"/>
      <c r="IO23" s="750">
        <f t="shared" si="55"/>
        <v>0</v>
      </c>
      <c r="IP23" s="756">
        <f>'Проверочная  таблица'!HX23-JH23</f>
        <v>0</v>
      </c>
      <c r="IQ23" s="671">
        <f>'Проверочная  таблица'!HY23-JI23</f>
        <v>0</v>
      </c>
      <c r="IR23" s="756">
        <f>'Проверочная  таблица'!HZ23-JJ23</f>
        <v>0</v>
      </c>
      <c r="IS23" s="671">
        <f>'Проверочная  таблица'!IA23-JK23</f>
        <v>0</v>
      </c>
      <c r="IT23" s="749">
        <f>'Проверочная  таблица'!IB23-JL23</f>
        <v>0</v>
      </c>
      <c r="IU23" s="671">
        <f>'Проверочная  таблица'!IC23-JM23</f>
        <v>0</v>
      </c>
      <c r="IV23" s="756">
        <f>'Проверочная  таблица'!ID23-JN23</f>
        <v>0</v>
      </c>
      <c r="IW23" s="671">
        <f>'Проверочная  таблица'!IE23-JO23</f>
        <v>0</v>
      </c>
      <c r="IX23" s="750">
        <f t="shared" si="56"/>
        <v>0</v>
      </c>
      <c r="IY23" s="756">
        <f>'Проверочная  таблица'!IG23-JQ23</f>
        <v>0</v>
      </c>
      <c r="IZ23" s="810">
        <f>'Проверочная  таблица'!IH23-JR23</f>
        <v>0</v>
      </c>
      <c r="JA23" s="756">
        <f>'Проверочная  таблица'!II23-JS23</f>
        <v>0</v>
      </c>
      <c r="JB23" s="768">
        <f>'Проверочная  таблица'!IJ23-JT23</f>
        <v>0</v>
      </c>
      <c r="JC23" s="756">
        <f>'Проверочная  таблица'!IK23-JU23</f>
        <v>0</v>
      </c>
      <c r="JD23" s="768">
        <f>'Проверочная  таблица'!IL23-JV23</f>
        <v>0</v>
      </c>
      <c r="JE23" s="756">
        <f>'Проверочная  таблица'!IM23-JW23</f>
        <v>0</v>
      </c>
      <c r="JF23" s="768">
        <f>'Проверочная  таблица'!IN23-JX23</f>
        <v>0</v>
      </c>
      <c r="JG23" s="659">
        <f t="shared" si="57"/>
        <v>0</v>
      </c>
      <c r="JH23" s="756">
        <f>[1]Субсидия_факт!CA21</f>
        <v>0</v>
      </c>
      <c r="JI23" s="671">
        <f>[1]Субсидия_факт!CG21</f>
        <v>0</v>
      </c>
      <c r="JJ23" s="511">
        <f>[1]Субсидия_факт!CY21</f>
        <v>0</v>
      </c>
      <c r="JK23" s="751">
        <f>[1]Субсидия_факт!DE21</f>
        <v>0</v>
      </c>
      <c r="JL23" s="511">
        <f>[1]Субсидия_факт!DK21</f>
        <v>0</v>
      </c>
      <c r="JM23" s="890">
        <f>[1]Субсидия_факт!DQ21</f>
        <v>0</v>
      </c>
      <c r="JN23" s="511">
        <f>[1]Субсидия_факт!EM21</f>
        <v>0</v>
      </c>
      <c r="JO23" s="751">
        <f>[1]Субсидия_факт!ES21</f>
        <v>0</v>
      </c>
      <c r="JP23" s="750">
        <f t="shared" si="58"/>
        <v>0</v>
      </c>
      <c r="JQ23" s="610"/>
      <c r="JR23" s="673"/>
      <c r="JS23" s="513"/>
      <c r="JT23" s="788"/>
      <c r="JU23" s="513"/>
      <c r="JV23" s="885"/>
      <c r="JW23" s="610"/>
      <c r="JX23" s="673"/>
      <c r="JY23" s="454">
        <f t="shared" si="161"/>
        <v>0</v>
      </c>
      <c r="JZ23" s="511">
        <f>[1]Субсидия_факт!BC21</f>
        <v>0</v>
      </c>
      <c r="KA23" s="890">
        <f>[1]Субсидия_факт!BE21</f>
        <v>0</v>
      </c>
      <c r="KB23" s="511">
        <f>[1]Субсидия_факт!BG21</f>
        <v>0</v>
      </c>
      <c r="KC23" s="890">
        <f>[1]Субсидия_факт!BI21</f>
        <v>0</v>
      </c>
      <c r="KD23" s="454">
        <f t="shared" si="162"/>
        <v>0</v>
      </c>
      <c r="KE23" s="610"/>
      <c r="KF23" s="673"/>
      <c r="KG23" s="610"/>
      <c r="KH23" s="673"/>
      <c r="KI23" s="524">
        <f t="shared" si="59"/>
        <v>102487.71</v>
      </c>
      <c r="KJ23" s="511">
        <f>[1]Субсидия_факт!HO21</f>
        <v>102487.71</v>
      </c>
      <c r="KK23" s="523">
        <f>[1]Субсидия_факт!HQ21</f>
        <v>0</v>
      </c>
      <c r="KL23" s="686">
        <f>[1]Субсидия_факт!HS21</f>
        <v>0</v>
      </c>
      <c r="KM23" s="636">
        <f>[1]Субсидия_факт!IC21</f>
        <v>0</v>
      </c>
      <c r="KN23" s="686">
        <f>[1]Субсидия_факт!IE21</f>
        <v>0</v>
      </c>
      <c r="KO23" s="487">
        <f t="shared" si="163"/>
        <v>102487.71</v>
      </c>
      <c r="KP23" s="756">
        <f t="shared" si="164"/>
        <v>102487.71</v>
      </c>
      <c r="KQ23" s="333"/>
      <c r="KR23" s="682"/>
      <c r="KS23" s="462"/>
      <c r="KT23" s="682"/>
      <c r="KU23" s="454">
        <f t="shared" si="60"/>
        <v>0</v>
      </c>
      <c r="KV23" s="513">
        <f>[1]Субсидия_факт!HY21</f>
        <v>0</v>
      </c>
      <c r="KW23" s="513">
        <f>[1]Субсидия_факт!HU21</f>
        <v>0</v>
      </c>
      <c r="KX23" s="751">
        <f>[1]Субсидия_факт!HW21</f>
        <v>0</v>
      </c>
      <c r="KY23" s="454">
        <f t="shared" si="61"/>
        <v>0</v>
      </c>
      <c r="KZ23" s="756">
        <f t="shared" si="165"/>
        <v>0</v>
      </c>
      <c r="LA23" s="610"/>
      <c r="LB23" s="673"/>
      <c r="LC23" s="886">
        <f t="shared" si="62"/>
        <v>0</v>
      </c>
      <c r="LD23" s="886">
        <f t="shared" si="63"/>
        <v>0</v>
      </c>
      <c r="LE23" s="657">
        <f t="shared" si="64"/>
        <v>0</v>
      </c>
      <c r="LF23" s="1038">
        <f t="shared" si="65"/>
        <v>0</v>
      </c>
      <c r="LG23" s="753">
        <f t="shared" si="166"/>
        <v>0</v>
      </c>
      <c r="LH23" s="511">
        <f>[1]Субсидия_факт!OG21</f>
        <v>0</v>
      </c>
      <c r="LI23" s="890">
        <f>[1]Субсидия_факт!OM21</f>
        <v>0</v>
      </c>
      <c r="LJ23" s="511">
        <f>[1]Субсидия_факт!OS21</f>
        <v>0</v>
      </c>
      <c r="LK23" s="890">
        <f>[1]Субсидия_факт!OY21</f>
        <v>0</v>
      </c>
      <c r="LL23" s="756">
        <f>[1]Субсидия_факт!PE21</f>
        <v>0</v>
      </c>
      <c r="LM23" s="768">
        <f>[1]Субсидия_факт!PI21</f>
        <v>0</v>
      </c>
      <c r="LN23" s="753">
        <f t="shared" si="66"/>
        <v>0</v>
      </c>
      <c r="LO23" s="777"/>
      <c r="LP23" s="673"/>
      <c r="LQ23" s="610"/>
      <c r="LR23" s="776"/>
      <c r="LS23" s="610"/>
      <c r="LT23" s="776"/>
      <c r="LU23" s="753">
        <f t="shared" si="67"/>
        <v>0</v>
      </c>
      <c r="LV23" s="511">
        <f>[1]Субсидия_факт!OI21</f>
        <v>0</v>
      </c>
      <c r="LW23" s="890">
        <f>[1]Субсидия_факт!OO21</f>
        <v>0</v>
      </c>
      <c r="LX23" s="513">
        <f>[1]Субсидия_факт!OU21</f>
        <v>0</v>
      </c>
      <c r="LY23" s="751">
        <f>[1]Субсидия_факт!PA21</f>
        <v>0</v>
      </c>
      <c r="LZ23" s="754">
        <f t="shared" si="68"/>
        <v>0</v>
      </c>
      <c r="MA23" s="610"/>
      <c r="MB23" s="776"/>
      <c r="MC23" s="610"/>
      <c r="MD23" s="673"/>
      <c r="ME23" s="652">
        <f t="shared" si="69"/>
        <v>0</v>
      </c>
      <c r="MF23" s="642">
        <f>'Проверочная  таблица'!LV23-MP23</f>
        <v>0</v>
      </c>
      <c r="MG23" s="678">
        <f>'Проверочная  таблица'!LW23-MQ23</f>
        <v>0</v>
      </c>
      <c r="MH23" s="765">
        <f>'Проверочная  таблица'!LY23-MR23</f>
        <v>0</v>
      </c>
      <c r="MI23" s="607">
        <f>'Проверочная  таблица'!LX23-MS23</f>
        <v>0</v>
      </c>
      <c r="MJ23" s="755">
        <f t="shared" si="70"/>
        <v>0</v>
      </c>
      <c r="MK23" s="749">
        <f>'Проверочная  таблица'!MA23-MU23</f>
        <v>0</v>
      </c>
      <c r="ML23" s="671">
        <f>'Проверочная  таблица'!MB23-MV23</f>
        <v>0</v>
      </c>
      <c r="MM23" s="768">
        <f>'Проверочная  таблица'!MD23-MW23</f>
        <v>0</v>
      </c>
      <c r="MN23" s="756">
        <f>'Проверочная  таблица'!MC23-MX23</f>
        <v>0</v>
      </c>
      <c r="MO23" s="779">
        <f t="shared" si="71"/>
        <v>0</v>
      </c>
      <c r="MP23" s="511">
        <f>[1]Субсидия_факт!OK21</f>
        <v>0</v>
      </c>
      <c r="MQ23" s="890">
        <f>[1]Субсидия_факт!OQ21</f>
        <v>0</v>
      </c>
      <c r="MR23" s="890">
        <f>[1]Субсидия_факт!PC21</f>
        <v>0</v>
      </c>
      <c r="MS23" s="511">
        <f>[1]Субсидия_факт!OW21</f>
        <v>0</v>
      </c>
      <c r="MT23" s="755">
        <f t="shared" si="72"/>
        <v>0</v>
      </c>
      <c r="MU23" s="749">
        <f t="shared" si="167"/>
        <v>0</v>
      </c>
      <c r="MV23" s="671">
        <f t="shared" si="168"/>
        <v>0</v>
      </c>
      <c r="MW23" s="768">
        <f t="shared" si="169"/>
        <v>0</v>
      </c>
      <c r="MX23" s="756">
        <f t="shared" si="73"/>
        <v>0</v>
      </c>
      <c r="MY23" s="524">
        <f>SUM('Проверочная  таблица'!MZ23:MZ23)</f>
        <v>0</v>
      </c>
      <c r="MZ23" s="333"/>
      <c r="NA23" s="524">
        <f>SUM('Проверочная  таблица'!NB23:NB23)</f>
        <v>0</v>
      </c>
      <c r="NB23" s="462"/>
      <c r="NC23" s="524">
        <f t="shared" si="74"/>
        <v>0</v>
      </c>
      <c r="ND23" s="452">
        <f>[1]Субсидия_факт!IU21</f>
        <v>0</v>
      </c>
      <c r="NE23" s="686">
        <f>[1]Субсидия_факт!IY21</f>
        <v>0</v>
      </c>
      <c r="NF23" s="517">
        <f t="shared" si="75"/>
        <v>0</v>
      </c>
      <c r="NG23" s="529"/>
      <c r="NH23" s="774"/>
      <c r="NI23" s="570">
        <f t="shared" si="76"/>
        <v>0</v>
      </c>
      <c r="NJ23" s="1000">
        <f>'Проверочная  таблица'!ND23-NP23</f>
        <v>0</v>
      </c>
      <c r="NK23" s="678">
        <f>'Проверочная  таблица'!NE23-NQ23</f>
        <v>0</v>
      </c>
      <c r="NL23" s="570">
        <f t="shared" si="77"/>
        <v>0</v>
      </c>
      <c r="NM23" s="476">
        <f>'Проверочная  таблица'!NG23-NS23</f>
        <v>0</v>
      </c>
      <c r="NN23" s="678">
        <f>'Проверочная  таблица'!NH23-NT23</f>
        <v>0</v>
      </c>
      <c r="NO23" s="633">
        <f t="shared" si="78"/>
        <v>0</v>
      </c>
      <c r="NP23" s="452">
        <f>[1]Субсидия_факт!IW21</f>
        <v>0</v>
      </c>
      <c r="NQ23" s="686">
        <f>[1]Субсидия_факт!JA21</f>
        <v>0</v>
      </c>
      <c r="NR23" s="570">
        <f t="shared" si="79"/>
        <v>0</v>
      </c>
      <c r="NS23" s="476"/>
      <c r="NT23" s="710"/>
      <c r="NU23" s="517">
        <f t="shared" si="170"/>
        <v>0</v>
      </c>
      <c r="NV23" s="332">
        <f>[1]Субсидия_факт!FA21</f>
        <v>0</v>
      </c>
      <c r="NW23" s="786">
        <f>[1]Субсидия_факт!FC21</f>
        <v>0</v>
      </c>
      <c r="NX23" s="517">
        <f t="shared" si="171"/>
        <v>0</v>
      </c>
      <c r="NY23" s="462"/>
      <c r="NZ23" s="682"/>
      <c r="OA23" s="517">
        <f t="shared" si="172"/>
        <v>0</v>
      </c>
      <c r="OD23" s="517">
        <f t="shared" si="173"/>
        <v>0</v>
      </c>
      <c r="OG23" s="526">
        <f t="shared" si="174"/>
        <v>0</v>
      </c>
      <c r="OJ23" s="526">
        <f t="shared" si="175"/>
        <v>0</v>
      </c>
      <c r="OM23" s="526">
        <f t="shared" si="176"/>
        <v>0</v>
      </c>
      <c r="OP23" s="526">
        <f t="shared" si="177"/>
        <v>0</v>
      </c>
      <c r="OS23" s="524">
        <f t="shared" si="80"/>
        <v>0</v>
      </c>
      <c r="OT23" s="498">
        <f>[1]Субсидия_факт!JO21</f>
        <v>0</v>
      </c>
      <c r="OU23" s="786">
        <f>[1]Субсидия_факт!JQ21</f>
        <v>0</v>
      </c>
      <c r="OV23" s="332">
        <f>[1]Субсидия_факт!KS21</f>
        <v>0</v>
      </c>
      <c r="OW23" s="686">
        <f>[1]Субсидия_факт!KY21</f>
        <v>0</v>
      </c>
      <c r="OX23" s="498">
        <f>[1]Субсидия_факт!KG21</f>
        <v>0</v>
      </c>
      <c r="OY23" s="786">
        <f>[1]Субсидия_факт!KM21</f>
        <v>0</v>
      </c>
      <c r="OZ23" s="517">
        <f t="shared" si="81"/>
        <v>0</v>
      </c>
      <c r="PA23" s="462"/>
      <c r="PB23" s="682"/>
      <c r="PC23" s="333"/>
      <c r="PD23" s="704"/>
      <c r="PE23" s="462"/>
      <c r="PF23" s="794"/>
      <c r="PG23" s="524">
        <f t="shared" si="82"/>
        <v>0</v>
      </c>
      <c r="PH23" s="498">
        <f>[1]Субсидия_факт!JC21</f>
        <v>0</v>
      </c>
      <c r="PI23" s="931">
        <f>[1]Субсидия_факт!JG21</f>
        <v>0</v>
      </c>
      <c r="PJ23" s="476">
        <f>[1]Субсидия_факт!JS21</f>
        <v>0</v>
      </c>
      <c r="PK23" s="678">
        <f>[1]Субсидия_факт!JW21</f>
        <v>0</v>
      </c>
      <c r="PL23" s="498">
        <f>[1]Субсидия_факт!KU21</f>
        <v>0</v>
      </c>
      <c r="PM23" s="791">
        <f>[1]Субсидия_факт!LA21</f>
        <v>0</v>
      </c>
      <c r="PN23" s="498">
        <f>[1]Субсидия_факт!KI21</f>
        <v>0</v>
      </c>
      <c r="PO23" s="686">
        <f>[1]Субсидия_факт!KO21</f>
        <v>0</v>
      </c>
      <c r="PP23" s="517">
        <f t="shared" si="83"/>
        <v>0</v>
      </c>
      <c r="PQ23" s="529"/>
      <c r="PR23" s="771"/>
      <c r="PS23" s="462"/>
      <c r="PT23" s="682"/>
      <c r="PU23" s="529"/>
      <c r="PV23" s="774"/>
      <c r="PW23" s="529"/>
      <c r="PX23" s="682"/>
      <c r="PY23" s="570">
        <f t="shared" si="84"/>
        <v>0</v>
      </c>
      <c r="PZ23" s="452">
        <f t="shared" si="85"/>
        <v>0</v>
      </c>
      <c r="QA23" s="686">
        <f t="shared" si="86"/>
        <v>0</v>
      </c>
      <c r="QB23" s="430">
        <f t="shared" si="87"/>
        <v>0</v>
      </c>
      <c r="QC23" s="686">
        <f t="shared" si="88"/>
        <v>0</v>
      </c>
      <c r="QD23" s="332">
        <f t="shared" si="89"/>
        <v>0</v>
      </c>
      <c r="QE23" s="686">
        <f t="shared" si="90"/>
        <v>0</v>
      </c>
      <c r="QF23" s="430">
        <f t="shared" si="91"/>
        <v>0</v>
      </c>
      <c r="QG23" s="686">
        <f t="shared" si="92"/>
        <v>0</v>
      </c>
      <c r="QH23" s="633">
        <f t="shared" si="93"/>
        <v>0</v>
      </c>
      <c r="QI23" s="452">
        <f t="shared" si="94"/>
        <v>0</v>
      </c>
      <c r="QJ23" s="686">
        <f t="shared" si="95"/>
        <v>0</v>
      </c>
      <c r="QK23" s="430">
        <f t="shared" si="96"/>
        <v>0</v>
      </c>
      <c r="QL23" s="686">
        <f t="shared" si="97"/>
        <v>0</v>
      </c>
      <c r="QM23" s="332">
        <f t="shared" si="98"/>
        <v>0</v>
      </c>
      <c r="QN23" s="786">
        <f t="shared" si="99"/>
        <v>0</v>
      </c>
      <c r="QO23" s="332">
        <f t="shared" si="100"/>
        <v>0</v>
      </c>
      <c r="QP23" s="686">
        <f t="shared" si="101"/>
        <v>0</v>
      </c>
      <c r="QQ23" s="570">
        <f t="shared" si="102"/>
        <v>0</v>
      </c>
      <c r="QR23" s="430">
        <f>[1]Субсидия_факт!JE21</f>
        <v>0</v>
      </c>
      <c r="QS23" s="931">
        <f>[1]Субсидия_факт!JI21</f>
        <v>0</v>
      </c>
      <c r="QT23" s="607">
        <f>[1]Субсидия_факт!JU21</f>
        <v>0</v>
      </c>
      <c r="QU23" s="678">
        <f>[1]Субсидия_факт!JY21</f>
        <v>0</v>
      </c>
      <c r="QV23" s="332">
        <f>[1]Субсидия_факт!KW21</f>
        <v>0</v>
      </c>
      <c r="QW23" s="791">
        <f>[1]Субсидия_факт!LC21</f>
        <v>0</v>
      </c>
      <c r="QX23" s="332">
        <f>[1]Субсидия_факт!KK21</f>
        <v>0</v>
      </c>
      <c r="QY23" s="686">
        <f>[1]Субсидия_факт!KQ21</f>
        <v>0</v>
      </c>
      <c r="QZ23" s="570">
        <f t="shared" si="103"/>
        <v>0</v>
      </c>
      <c r="RA23" s="530"/>
      <c r="RB23" s="678"/>
      <c r="RC23" s="462"/>
      <c r="RD23" s="682"/>
      <c r="RE23" s="530"/>
      <c r="RF23" s="794"/>
      <c r="RG23" s="529"/>
      <c r="RH23" s="765"/>
      <c r="RI23" s="487">
        <f>[1]Субсидия_факт!PW21</f>
        <v>19970955.119999997</v>
      </c>
      <c r="RJ23" s="1240">
        <f t="shared" si="178"/>
        <v>19970955.119999997</v>
      </c>
      <c r="RK23" s="522">
        <f>'Прочая  субсидия_МР  и  ГО'!B19</f>
        <v>24868147.48</v>
      </c>
      <c r="RL23" s="517">
        <f>'Прочая  субсидия_МР  и  ГО'!C19</f>
        <v>22481342.690000001</v>
      </c>
      <c r="RM23" s="522">
        <f>'Прочая  субсидия_БП'!B19</f>
        <v>12985309.57</v>
      </c>
      <c r="RN23" s="524">
        <f>'Прочая  субсидия_БП'!C19</f>
        <v>8308788.5700000003</v>
      </c>
      <c r="RO23" s="565">
        <f>'Прочая  субсидия_БП'!D19</f>
        <v>12985309.57</v>
      </c>
      <c r="RP23" s="564">
        <f>'Прочая  субсидия_БП'!E19</f>
        <v>8308788.5700000003</v>
      </c>
      <c r="RQ23" s="571">
        <f>'Прочая  субсидия_БП'!F19</f>
        <v>0</v>
      </c>
      <c r="RR23" s="564">
        <f>'Прочая  субсидия_БП'!G19</f>
        <v>0</v>
      </c>
      <c r="RS23" s="487">
        <f t="shared" si="104"/>
        <v>244812941</v>
      </c>
      <c r="RT23" s="452">
        <f>'Проверочная  таблица'!SR23+'Проверочная  таблица'!RY23+'Проверочная  таблица'!SA23+'Проверочная  таблица'!SC23</f>
        <v>241490307</v>
      </c>
      <c r="RU23" s="332">
        <f>'Проверочная  таблица'!SS23+'Проверочная  таблица'!SE23+'Проверочная  таблица'!SK23+'Проверочная  таблица'!SG23+'Проверочная  таблица'!SO23+'Проверочная  таблица'!SI23+SM23</f>
        <v>3322634</v>
      </c>
      <c r="RV23" s="517">
        <f t="shared" si="105"/>
        <v>190618457.75999999</v>
      </c>
      <c r="RW23" s="430">
        <f>'Проверочная  таблица'!SU23+'Проверочная  таблица'!RZ23+'Проверочная  таблица'!SB23+'Проверочная  таблица'!SD23</f>
        <v>188300312</v>
      </c>
      <c r="RX23" s="332">
        <f>'Проверочная  таблица'!SV23+'Проверочная  таблица'!SF23+'Проверочная  таблица'!SL23+'Проверочная  таблица'!SH23+'Проверочная  таблица'!SP23+'Проверочная  таблица'!SJ23+SN23</f>
        <v>2318145.7599999998</v>
      </c>
      <c r="RY23" s="559">
        <f>'Субвенция  на  полномочия'!B19</f>
        <v>229023515</v>
      </c>
      <c r="RZ23" s="454">
        <f>'Субвенция  на  полномочия'!C19</f>
        <v>178130520</v>
      </c>
      <c r="SA23" s="732">
        <f>[1]Субвенция_факт!P20*1000</f>
        <v>8344000</v>
      </c>
      <c r="SB23" s="1389">
        <v>7200000</v>
      </c>
      <c r="SC23" s="732">
        <f>[1]Субвенция_факт!K20*1000</f>
        <v>3103000</v>
      </c>
      <c r="SD23" s="1389">
        <v>1950000</v>
      </c>
      <c r="SE23" s="732">
        <f>[1]Субвенция_факт!AD20*1000</f>
        <v>824000</v>
      </c>
      <c r="SF23" s="735">
        <v>418305.46</v>
      </c>
      <c r="SG23" s="732">
        <f>[1]Субвенция_факт!AE20*1000</f>
        <v>0</v>
      </c>
      <c r="SH23" s="735"/>
      <c r="SI23" s="732">
        <f>[1]Субвенция_факт!E20*1000</f>
        <v>1198634.0000000002</v>
      </c>
      <c r="SJ23" s="735">
        <v>1191816</v>
      </c>
      <c r="SK23" s="732">
        <f>[1]Субвенция_факт!F20*1000</f>
        <v>0</v>
      </c>
      <c r="SL23" s="866"/>
      <c r="SM23" s="163">
        <f>[1]Субвенция_факт!G20*1000</f>
        <v>0</v>
      </c>
      <c r="SN23" s="867"/>
      <c r="SO23" s="732">
        <f>[1]Субвенция_факт!H20*1000</f>
        <v>0</v>
      </c>
      <c r="SP23" s="735"/>
      <c r="SQ23" s="524">
        <f t="shared" si="106"/>
        <v>2319792</v>
      </c>
      <c r="SR23" s="865">
        <f>[1]Субвенция_факт!AC20*1000</f>
        <v>1019791.9999999999</v>
      </c>
      <c r="SS23" s="1040">
        <f>[1]Субвенция_факт!AB20*1000</f>
        <v>1300000</v>
      </c>
      <c r="ST23" s="517">
        <f t="shared" si="107"/>
        <v>1727816.3</v>
      </c>
      <c r="SU23" s="1503">
        <v>1019792</v>
      </c>
      <c r="SV23" s="1506">
        <v>708024.3</v>
      </c>
      <c r="SW23" s="271">
        <f>'Проверочная  таблица'!VC23+'Проверочная  таблица'!UY23+'Проверочная  таблица'!TQ23+'Проверочная  таблица'!TU23+SY23+'Проверочная  таблица'!US23+UC23+UI23</f>
        <v>0</v>
      </c>
      <c r="SX23" s="163">
        <f>'Проверочная  таблица'!VE23+'Проверочная  таблица'!VA23+'Проверочная  таблица'!TS23+'Проверочная  таблица'!TW23+TH23+'Проверочная  таблица'!UV23+UF23+UL23</f>
        <v>0</v>
      </c>
      <c r="SY23" s="1129">
        <f t="shared" si="108"/>
        <v>0</v>
      </c>
      <c r="SZ23" s="1114">
        <f>'[1]Иные межбюджетные трансферты'!O21</f>
        <v>0</v>
      </c>
      <c r="TA23" s="1111">
        <f>'[1]Иные межбюджетные трансферты'!Q21</f>
        <v>0</v>
      </c>
      <c r="TB23" s="879">
        <f>'[1]Иные межбюджетные трансферты'!I21</f>
        <v>0</v>
      </c>
      <c r="TC23" s="1111">
        <f>'[1]Иные межбюджетные трансферты'!K21</f>
        <v>0</v>
      </c>
      <c r="TD23" s="879">
        <f>'[1]Иные межбюджетные трансферты'!S21</f>
        <v>0</v>
      </c>
      <c r="TE23" s="958">
        <f>'[1]Иные межбюджетные трансферты'!U21</f>
        <v>0</v>
      </c>
      <c r="TF23" s="1236">
        <f>'[1]Иные межбюджетные трансферты'!M21</f>
        <v>0</v>
      </c>
      <c r="TG23" s="1231">
        <f>'[1]Иные межбюджетные трансферты'!W21</f>
        <v>0</v>
      </c>
      <c r="TH23" s="991">
        <f t="shared" si="109"/>
        <v>0</v>
      </c>
      <c r="TI23" s="984"/>
      <c r="TJ23" s="982"/>
      <c r="TK23" s="879"/>
      <c r="TL23" s="958"/>
      <c r="TM23" s="879"/>
      <c r="TN23" s="958"/>
      <c r="TO23" s="984"/>
      <c r="TP23" s="1269"/>
      <c r="TQ23" s="973">
        <f t="shared" si="179"/>
        <v>0</v>
      </c>
      <c r="TR23" s="1458">
        <f>'[1]Иные межбюджетные трансферты'!Y21</f>
        <v>0</v>
      </c>
      <c r="TS23" s="973">
        <f t="shared" si="179"/>
        <v>0</v>
      </c>
      <c r="TT23" s="958"/>
      <c r="TU23" s="973">
        <f t="shared" ref="TU23" si="200">TV23</f>
        <v>0</v>
      </c>
      <c r="TV23" s="958">
        <f>'[1]Иные межбюджетные трансферты'!AA21</f>
        <v>0</v>
      </c>
      <c r="TW23" s="973">
        <f t="shared" si="110"/>
        <v>0</v>
      </c>
      <c r="TX23" s="1111"/>
      <c r="TY23" s="976">
        <f t="shared" si="111"/>
        <v>0</v>
      </c>
      <c r="TZ23" s="970">
        <f t="shared" si="112"/>
        <v>0</v>
      </c>
      <c r="UA23" s="1266">
        <f t="shared" si="181"/>
        <v>0</v>
      </c>
      <c r="UB23" s="976">
        <f t="shared" si="182"/>
        <v>0</v>
      </c>
      <c r="UC23" s="973">
        <f t="shared" si="113"/>
        <v>0</v>
      </c>
      <c r="UD23" s="1272">
        <f>'[1]Иные межбюджетные трансферты'!AE21</f>
        <v>0</v>
      </c>
      <c r="UE23" s="1145">
        <f>'[1]Иные межбюджетные трансферты'!AK21</f>
        <v>0</v>
      </c>
      <c r="UF23" s="973">
        <f t="shared" si="114"/>
        <v>0</v>
      </c>
      <c r="UG23" s="958"/>
      <c r="UH23" s="958"/>
      <c r="UI23" s="973">
        <f t="shared" si="115"/>
        <v>0</v>
      </c>
      <c r="UJ23" s="1272">
        <f>'[1]Иные межбюджетные трансферты'!AG21</f>
        <v>0</v>
      </c>
      <c r="UK23" s="1145">
        <f>'[1]Иные межбюджетные трансферты'!AM21</f>
        <v>0</v>
      </c>
      <c r="UL23" s="973">
        <f t="shared" si="116"/>
        <v>0</v>
      </c>
      <c r="UM23" s="958"/>
      <c r="UN23" s="1111"/>
      <c r="UO23" s="976">
        <f t="shared" si="183"/>
        <v>0</v>
      </c>
      <c r="UP23" s="970">
        <f t="shared" si="184"/>
        <v>0</v>
      </c>
      <c r="UQ23" s="970">
        <f t="shared" si="185"/>
        <v>0</v>
      </c>
      <c r="UR23" s="1462">
        <f t="shared" si="186"/>
        <v>0</v>
      </c>
      <c r="US23" s="1263">
        <f t="shared" si="117"/>
        <v>0</v>
      </c>
      <c r="UT23" s="1040">
        <f>'[1]Иные межбюджетные трансферты'!E21</f>
        <v>0</v>
      </c>
      <c r="UU23" s="1126">
        <f>'[1]Иные межбюджетные трансферты'!G21</f>
        <v>0</v>
      </c>
      <c r="UV23" s="733">
        <f t="shared" si="118"/>
        <v>0</v>
      </c>
      <c r="UW23" s="1040"/>
      <c r="UX23" s="1126"/>
      <c r="UY23" s="880">
        <f t="shared" si="119"/>
        <v>0</v>
      </c>
      <c r="UZ23" s="958"/>
      <c r="VA23" s="1039">
        <f t="shared" si="120"/>
        <v>0</v>
      </c>
      <c r="VB23" s="890"/>
      <c r="VC23" s="510">
        <f t="shared" si="121"/>
        <v>0</v>
      </c>
      <c r="VD23" s="874">
        <f>'[1]Иные межбюджетные трансферты'!AS21</f>
        <v>0</v>
      </c>
      <c r="VE23" s="510">
        <f t="shared" si="122"/>
        <v>0</v>
      </c>
      <c r="VF23" s="513"/>
      <c r="VG23" s="886">
        <f t="shared" si="123"/>
        <v>0</v>
      </c>
      <c r="VH23" s="511">
        <f>'Проверочная  таблица'!VD23-VL23</f>
        <v>0</v>
      </c>
      <c r="VI23" s="886">
        <f t="shared" si="124"/>
        <v>0</v>
      </c>
      <c r="VJ23" s="511">
        <f>'Проверочная  таблица'!VF23-VN23</f>
        <v>0</v>
      </c>
      <c r="VK23" s="886">
        <f t="shared" si="125"/>
        <v>0</v>
      </c>
      <c r="VL23" s="874">
        <f>'[1]Иные межбюджетные трансферты'!AU21</f>
        <v>0</v>
      </c>
      <c r="VM23" s="1038">
        <f t="shared" si="126"/>
        <v>0</v>
      </c>
      <c r="VN23" s="513"/>
      <c r="VO23" s="517">
        <f>VQ23+'Проверочная  таблица'!VY23+VU23+'Проверочная  таблица'!WC23+VW23+'Проверочная  таблица'!WE23</f>
        <v>-45125000</v>
      </c>
      <c r="VP23" s="517">
        <f>VR23+'Проверочная  таблица'!VZ23+VV23+'Проверочная  таблица'!WD23+VX23+'Проверочная  таблица'!WF23</f>
        <v>-14663300</v>
      </c>
      <c r="VQ23" s="531">
        <v>10000000</v>
      </c>
      <c r="VR23" s="531">
        <v>10000000</v>
      </c>
      <c r="VS23" s="531">
        <v>500000</v>
      </c>
      <c r="VT23" s="531">
        <v>500000</v>
      </c>
      <c r="VU23" s="528">
        <f t="shared" si="127"/>
        <v>500000</v>
      </c>
      <c r="VV23" s="526">
        <f t="shared" si="128"/>
        <v>500000</v>
      </c>
      <c r="VW23" s="532"/>
      <c r="VX23" s="521"/>
      <c r="VY23" s="531">
        <f>-44255000-10000000</f>
        <v>-54255000</v>
      </c>
      <c r="VZ23" s="531">
        <f>-12763300-12000000</f>
        <v>-24763300</v>
      </c>
      <c r="WA23" s="531">
        <f>-400000-150000-200000-150000-170000-300000</f>
        <v>-1370000</v>
      </c>
      <c r="WB23" s="531">
        <v>-400000</v>
      </c>
      <c r="WC23" s="528">
        <f t="shared" si="129"/>
        <v>-1370000</v>
      </c>
      <c r="WD23" s="526">
        <f t="shared" si="130"/>
        <v>-400000</v>
      </c>
      <c r="WE23" s="521"/>
      <c r="WF23" s="521"/>
      <c r="WG23" s="1356">
        <f>'Проверочная  таблица'!VY23+'Проверочная  таблица'!WA23</f>
        <v>-55625000</v>
      </c>
      <c r="WH23" s="1356">
        <f>'Проверочная  таблица'!VZ23+'Проверочная  таблица'!WB23</f>
        <v>-25163300</v>
      </c>
      <c r="WI23" s="1481"/>
    </row>
    <row r="24" spans="1:607" s="329" customFormat="1" ht="25.5" customHeight="1" x14ac:dyDescent="0.3">
      <c r="A24" s="339" t="s">
        <v>100</v>
      </c>
      <c r="B24" s="524">
        <f>D24+AI24+'Проверочная  таблица'!RS24+'Проверочная  таблица'!SW24</f>
        <v>999195476.80999994</v>
      </c>
      <c r="C24" s="517">
        <f>E24+'Проверочная  таблица'!RV24+AJ24+'Проверочная  таблица'!SX24</f>
        <v>670424815.08000004</v>
      </c>
      <c r="D24" s="522">
        <f t="shared" si="0"/>
        <v>38364911</v>
      </c>
      <c r="E24" s="524">
        <f t="shared" si="1"/>
        <v>29596447.75</v>
      </c>
      <c r="F24" s="1062">
        <f>'[1]Дотация  из  ОБ_факт'!I20+'[1]Дотация  из  ОБ_факт'!Q20</f>
        <v>7337800</v>
      </c>
      <c r="G24" s="1366">
        <v>5503320</v>
      </c>
      <c r="H24" s="563">
        <f>'[1]Дотация  из  ОБ_факт'!K20</f>
        <v>14719300</v>
      </c>
      <c r="I24" s="1366">
        <v>10993500</v>
      </c>
      <c r="J24" s="564">
        <f t="shared" si="2"/>
        <v>14719300</v>
      </c>
      <c r="K24" s="571">
        <f t="shared" si="3"/>
        <v>10993500</v>
      </c>
      <c r="L24" s="883">
        <f>'[1]Дотация  из  ОБ_факт'!O20</f>
        <v>0</v>
      </c>
      <c r="M24" s="745"/>
      <c r="N24" s="563">
        <f>'[1]Дотация  из  ОБ_факт'!U20</f>
        <v>525311</v>
      </c>
      <c r="O24" s="1366">
        <v>482327.75</v>
      </c>
      <c r="P24" s="784">
        <f>'[1]Дотация  из  ОБ_факт'!W20</f>
        <v>13382500</v>
      </c>
      <c r="Q24" s="1366">
        <v>10217300</v>
      </c>
      <c r="R24" s="571">
        <f t="shared" si="4"/>
        <v>13382500</v>
      </c>
      <c r="S24" s="564">
        <f t="shared" si="5"/>
        <v>10217300</v>
      </c>
      <c r="T24" s="1059">
        <f>'[1]Дотация  из  ОБ_факт'!AA20</f>
        <v>0</v>
      </c>
      <c r="U24" s="331"/>
      <c r="V24" s="784">
        <f>'[1]Дотация  из  ОБ_факт'!AE20+'[1]Дотация  из  ОБ_факт'!AG20+'[1]Дотация  из  ОБ_факт'!AK20</f>
        <v>900000</v>
      </c>
      <c r="W24" s="163">
        <f t="shared" si="6"/>
        <v>900000</v>
      </c>
      <c r="X24" s="567"/>
      <c r="Y24" s="1364">
        <v>900000</v>
      </c>
      <c r="Z24" s="567"/>
      <c r="AA24" s="563">
        <f>'[1]Дотация  из  ОБ_факт'!AC20+'[1]Дотация  из  ОБ_факт'!AI20</f>
        <v>1500000</v>
      </c>
      <c r="AB24" s="165">
        <f t="shared" si="7"/>
        <v>1500000</v>
      </c>
      <c r="AC24" s="1364">
        <v>1500000</v>
      </c>
      <c r="AD24" s="567"/>
      <c r="AE24" s="564">
        <f t="shared" si="8"/>
        <v>1500000</v>
      </c>
      <c r="AF24" s="571">
        <f t="shared" si="9"/>
        <v>1500000</v>
      </c>
      <c r="AG24" s="565">
        <f>'[1]Дотация  из  ОБ_факт'!AI20</f>
        <v>0</v>
      </c>
      <c r="AH24" s="1370">
        <f t="shared" si="131"/>
        <v>0</v>
      </c>
      <c r="AI24" s="559">
        <f>'Проверочная  таблица'!KI24+NU24+OA24+'Проверочная  таблица'!RK24+'Проверочная  таблица'!RM24+DE24+DG24+DM24+DO24+'Проверочная  таблица'!MY24+'Проверочная  таблица'!NC24+CG24+CQ24+'Проверочная  таблица'!HE24+'Проверочная  таблица'!HW24+'Проверочная  таблица'!ES24+'Проверочная  таблица'!JY24+DU24+'Проверочная  таблица'!GA24+'Проверочная  таблица'!GG24+'Проверочная  таблица'!LG24+'Проверочная  таблица'!LU24+FU24+'Проверочная  таблица'!KU24+RI24+OS24+PG24+EK24+AK24+AW24+FO24+FE24+GY24+EY24</f>
        <v>415125097.81</v>
      </c>
      <c r="AJ24" s="487">
        <f>'Проверочная  таблица'!KO24+NX24+OD24+'Проверочная  таблица'!RL24+'Проверочная  таблица'!RN24+DF24+DH24+DN24+DP24+'Проверочная  таблица'!NA24+'Проверочная  таблица'!NF24+CL24+CV24+'Проверочная  таблица'!HN24+'Проверочная  таблица'!IF24+'Проверочная  таблица'!EV24+'Проверочная  таблица'!KD24+EC24+'Проверочная  таблица'!GD24+'Проверочная  таблица'!GJ24+'Проверочная  таблица'!LN24+'Проверочная  таблица'!LZ24+FX24+'Проверочная  таблица'!KY24+FR24+RJ24+PP24+OZ24+EM24+AQ24+BC24+FJ24+HB24+FB24</f>
        <v>218451547.72</v>
      </c>
      <c r="AK24" s="487">
        <f t="shared" si="10"/>
        <v>31274999</v>
      </c>
      <c r="AL24" s="332">
        <f>[1]Субсидия_факт!CO22</f>
        <v>0</v>
      </c>
      <c r="AM24" s="523">
        <f>[1]Субсидия_факт!FK22</f>
        <v>31274999</v>
      </c>
      <c r="AN24" s="498">
        <f>[1]Субсидия_факт!FW22</f>
        <v>0</v>
      </c>
      <c r="AO24" s="523">
        <f>[1]Субсидия_факт!KA22</f>
        <v>0</v>
      </c>
      <c r="AP24" s="332">
        <f>[1]Субсидия_факт!LE22</f>
        <v>0</v>
      </c>
      <c r="AQ24" s="487">
        <f t="shared" si="11"/>
        <v>30609880</v>
      </c>
      <c r="AR24" s="462"/>
      <c r="AS24" s="462">
        <v>30609880</v>
      </c>
      <c r="AT24" s="462"/>
      <c r="AU24" s="462"/>
      <c r="AV24" s="462"/>
      <c r="AW24" s="487">
        <f t="shared" si="132"/>
        <v>69651453.620000005</v>
      </c>
      <c r="AX24" s="452">
        <f>[1]Субсидия_факт!CQ22</f>
        <v>64386939.619999997</v>
      </c>
      <c r="AY24" s="332">
        <f>[1]Субсидия_факт!FO22</f>
        <v>5264514</v>
      </c>
      <c r="AZ24" s="476">
        <f>[1]Субсидия_факт!JK22</f>
        <v>0</v>
      </c>
      <c r="BA24" s="496">
        <f>[1]Субсидия_факт!KC22</f>
        <v>0</v>
      </c>
      <c r="BB24" s="498">
        <f>[1]Субсидия_факт!LG22</f>
        <v>0</v>
      </c>
      <c r="BC24" s="487">
        <f t="shared" si="133"/>
        <v>15827963.399999999</v>
      </c>
      <c r="BD24" s="529">
        <v>10826675.399999999</v>
      </c>
      <c r="BE24" s="529">
        <v>5001288</v>
      </c>
      <c r="BF24" s="333"/>
      <c r="BG24" s="530"/>
      <c r="BH24" s="529"/>
      <c r="BI24" s="657">
        <f t="shared" si="134"/>
        <v>69651453.620000005</v>
      </c>
      <c r="BJ24" s="1025">
        <f t="shared" si="12"/>
        <v>64386939.619999997</v>
      </c>
      <c r="BK24" s="452">
        <f t="shared" si="13"/>
        <v>5264514</v>
      </c>
      <c r="BL24" s="452">
        <f t="shared" si="14"/>
        <v>0</v>
      </c>
      <c r="BM24" s="332">
        <f t="shared" si="15"/>
        <v>0</v>
      </c>
      <c r="BN24" s="488">
        <f t="shared" si="16"/>
        <v>0</v>
      </c>
      <c r="BO24" s="657">
        <f t="shared" si="135"/>
        <v>15827963.399999999</v>
      </c>
      <c r="BP24" s="607">
        <f t="shared" si="17"/>
        <v>10826675.399999999</v>
      </c>
      <c r="BQ24" s="496">
        <f t="shared" si="18"/>
        <v>5001288</v>
      </c>
      <c r="BR24" s="332">
        <f t="shared" si="19"/>
        <v>0</v>
      </c>
      <c r="BS24" s="430">
        <f t="shared" si="20"/>
        <v>0</v>
      </c>
      <c r="BT24" s="332">
        <f t="shared" si="21"/>
        <v>0</v>
      </c>
      <c r="BU24" s="657">
        <f t="shared" si="136"/>
        <v>0</v>
      </c>
      <c r="BV24" s="452">
        <f>[1]Субсидия_факт!CS22</f>
        <v>0</v>
      </c>
      <c r="BW24" s="332">
        <f>[1]Субсидия_факт!FQ22</f>
        <v>0</v>
      </c>
      <c r="BX24" s="476">
        <f>[1]Субсидия_факт!JM22</f>
        <v>0</v>
      </c>
      <c r="BY24" s="430">
        <f>[1]Субсидия_факт!KE22</f>
        <v>0</v>
      </c>
      <c r="BZ24" s="332">
        <f>[1]Субсидия_факт!LI22</f>
        <v>0</v>
      </c>
      <c r="CA24" s="659">
        <f t="shared" si="137"/>
        <v>0</v>
      </c>
      <c r="CB24" s="782"/>
      <c r="CC24" s="529"/>
      <c r="CD24" s="462"/>
      <c r="CE24" s="529"/>
      <c r="CF24" s="529"/>
      <c r="CG24" s="517">
        <f t="shared" si="22"/>
        <v>47290415</v>
      </c>
      <c r="CH24" s="430">
        <f>[1]Субсидия_факт!LM22</f>
        <v>0</v>
      </c>
      <c r="CI24" s="452">
        <f>[1]Субсидия_факт!LS22</f>
        <v>47290415</v>
      </c>
      <c r="CJ24" s="332">
        <f>[1]Субсидия_факт!ME22</f>
        <v>0</v>
      </c>
      <c r="CK24" s="511">
        <f>[1]Субсидия_факт!MK22</f>
        <v>0</v>
      </c>
      <c r="CL24" s="517">
        <f t="shared" si="23"/>
        <v>47290415</v>
      </c>
      <c r="CM24" s="529"/>
      <c r="CN24" s="529">
        <v>47290415</v>
      </c>
      <c r="CO24" s="529"/>
      <c r="CP24" s="610"/>
      <c r="CQ24" s="517">
        <f t="shared" si="24"/>
        <v>0</v>
      </c>
      <c r="CR24" s="452">
        <f>[1]Субсидия_факт!LO22</f>
        <v>0</v>
      </c>
      <c r="CS24" s="452">
        <f>[1]Субсидия_факт!LU22</f>
        <v>0</v>
      </c>
      <c r="CT24" s="332">
        <f>[1]Субсидия_факт!MG22</f>
        <v>0</v>
      </c>
      <c r="CU24" s="511">
        <f>[1]Субсидия_факт!MM22</f>
        <v>0</v>
      </c>
      <c r="CV24" s="517">
        <f t="shared" si="25"/>
        <v>0</v>
      </c>
      <c r="CW24" s="529"/>
      <c r="CX24" s="530"/>
      <c r="CY24" s="782"/>
      <c r="CZ24" s="719"/>
      <c r="DA24" s="528">
        <f t="shared" si="138"/>
        <v>0</v>
      </c>
      <c r="DB24" s="526">
        <f t="shared" si="139"/>
        <v>0</v>
      </c>
      <c r="DC24" s="525">
        <f t="shared" si="140"/>
        <v>0</v>
      </c>
      <c r="DD24" s="528">
        <f t="shared" si="141"/>
        <v>0</v>
      </c>
      <c r="DE24" s="524">
        <f>[1]Субсидия_факт!GC22</f>
        <v>0</v>
      </c>
      <c r="DF24" s="330"/>
      <c r="DG24" s="522">
        <f>[1]Субсидия_факт!GE22</f>
        <v>0</v>
      </c>
      <c r="DH24" s="330"/>
      <c r="DI24" s="757">
        <f t="shared" si="142"/>
        <v>0</v>
      </c>
      <c r="DJ24" s="570">
        <f t="shared" si="143"/>
        <v>0</v>
      </c>
      <c r="DK24" s="757">
        <f>[1]Субсидия_факт!GG22</f>
        <v>0</v>
      </c>
      <c r="DL24" s="1387">
        <f t="shared" si="144"/>
        <v>0</v>
      </c>
      <c r="DM24" s="516">
        <f>[1]Субсидия_факт!GI22</f>
        <v>0</v>
      </c>
      <c r="DN24" s="604"/>
      <c r="DO24" s="517">
        <f>[1]Субсидия_факт!GK22</f>
        <v>0</v>
      </c>
      <c r="DP24" s="604"/>
      <c r="DQ24" s="526">
        <f t="shared" si="28"/>
        <v>0</v>
      </c>
      <c r="DR24" s="526">
        <f t="shared" si="29"/>
        <v>0</v>
      </c>
      <c r="DS24" s="653">
        <f t="shared" si="30"/>
        <v>0</v>
      </c>
      <c r="DT24" s="1385">
        <f t="shared" si="145"/>
        <v>0</v>
      </c>
      <c r="DU24" s="517">
        <f t="shared" si="31"/>
        <v>0</v>
      </c>
      <c r="DV24" s="523">
        <f>[1]Субсидия_факт!E22</f>
        <v>0</v>
      </c>
      <c r="DW24" s="1025">
        <f>[1]Субсидия_факт!G22</f>
        <v>0</v>
      </c>
      <c r="DX24" s="678">
        <f>[1]Субсидия_факт!I22</f>
        <v>0</v>
      </c>
      <c r="DY24" s="636">
        <f>[1]Субсидия_факт!K22</f>
        <v>0</v>
      </c>
      <c r="DZ24" s="786">
        <f>[1]Субсидия_факт!M22</f>
        <v>0</v>
      </c>
      <c r="EA24" s="498">
        <f>[1]Субсидия_факт!O22</f>
        <v>0</v>
      </c>
      <c r="EB24" s="636">
        <f>[1]Субсидия_факт!Q22</f>
        <v>0</v>
      </c>
      <c r="EC24" s="516">
        <f t="shared" si="32"/>
        <v>0</v>
      </c>
      <c r="ED24" s="530"/>
      <c r="EE24" s="529"/>
      <c r="EF24" s="682"/>
      <c r="EG24" s="529"/>
      <c r="EH24" s="682"/>
      <c r="EI24" s="530"/>
      <c r="EJ24" s="607">
        <f t="shared" si="146"/>
        <v>0</v>
      </c>
      <c r="EK24" s="516">
        <f t="shared" si="147"/>
        <v>0</v>
      </c>
      <c r="EL24" s="1223">
        <f>[1]Субсидия_факт!S22</f>
        <v>0</v>
      </c>
      <c r="EM24" s="524">
        <f t="shared" si="147"/>
        <v>0</v>
      </c>
      <c r="EN24" s="607">
        <f t="shared" si="148"/>
        <v>0</v>
      </c>
      <c r="EO24" s="570">
        <f t="shared" si="149"/>
        <v>0</v>
      </c>
      <c r="EP24" s="633">
        <f t="shared" si="150"/>
        <v>0</v>
      </c>
      <c r="EQ24" s="633">
        <f>[1]Субсидия_факт!U22</f>
        <v>0</v>
      </c>
      <c r="ER24" s="1245">
        <f t="shared" si="151"/>
        <v>0</v>
      </c>
      <c r="ES24" s="487">
        <f t="shared" si="33"/>
        <v>0</v>
      </c>
      <c r="ET24" s="511">
        <f>[1]Субсидия_факт!AU22</f>
        <v>0</v>
      </c>
      <c r="EU24" s="890">
        <f>[1]Субсидия_факт!AW22</f>
        <v>0</v>
      </c>
      <c r="EV24" s="454">
        <f t="shared" si="34"/>
        <v>0</v>
      </c>
      <c r="EW24" s="777"/>
      <c r="EX24" s="1095"/>
      <c r="EY24" s="487">
        <f t="shared" si="35"/>
        <v>0</v>
      </c>
      <c r="EZ24" s="511">
        <f>[1]Субсидия_факт!FY22</f>
        <v>0</v>
      </c>
      <c r="FA24" s="890">
        <f>[1]Субсидия_факт!GA22</f>
        <v>0</v>
      </c>
      <c r="FB24" s="454">
        <f t="shared" si="36"/>
        <v>0</v>
      </c>
      <c r="FC24" s="777"/>
      <c r="FD24" s="1095"/>
      <c r="FE24" s="517">
        <f t="shared" si="152"/>
        <v>2864400</v>
      </c>
      <c r="FF24" s="430">
        <f>[1]Субсидия_факт!W22</f>
        <v>143220</v>
      </c>
      <c r="FG24" s="931">
        <f>[1]Субсидия_факт!Y22</f>
        <v>2721180</v>
      </c>
      <c r="FH24" s="452">
        <f>[1]Субсидия_факт!AA22</f>
        <v>0</v>
      </c>
      <c r="FI24" s="686">
        <f>[1]Субсидия_факт!AC22</f>
        <v>0</v>
      </c>
      <c r="FJ24" s="516">
        <f t="shared" si="153"/>
        <v>0</v>
      </c>
      <c r="FK24" s="462"/>
      <c r="FL24" s="682"/>
      <c r="FM24" s="462"/>
      <c r="FN24" s="682"/>
      <c r="FO24" s="487">
        <f t="shared" si="37"/>
        <v>115717396</v>
      </c>
      <c r="FP24" s="511">
        <f>[1]Субсидия_факт!AY22</f>
        <v>5785870.0099999998</v>
      </c>
      <c r="FQ24" s="890">
        <f>[1]Субсидия_факт!BA22</f>
        <v>109931525.98999999</v>
      </c>
      <c r="FR24" s="454">
        <f t="shared" si="38"/>
        <v>29595554.600000001</v>
      </c>
      <c r="FS24" s="777">
        <v>1479777.78</v>
      </c>
      <c r="FT24" s="673">
        <f>29595554.6-FS24</f>
        <v>28115776.82</v>
      </c>
      <c r="FU24" s="524">
        <f t="shared" si="154"/>
        <v>0</v>
      </c>
      <c r="FV24" s="498">
        <f>[1]Субсидия_факт!EE22</f>
        <v>0</v>
      </c>
      <c r="FW24" s="686">
        <f>[1]Субсидия_факт!EG22</f>
        <v>0</v>
      </c>
      <c r="FX24" s="517">
        <f t="shared" si="155"/>
        <v>0</v>
      </c>
      <c r="FY24" s="529"/>
      <c r="FZ24" s="704"/>
      <c r="GA24" s="559">
        <f t="shared" si="41"/>
        <v>0</v>
      </c>
      <c r="GB24" s="511">
        <f>[1]Субсидия_факт!DS22</f>
        <v>0</v>
      </c>
      <c r="GC24" s="890">
        <f>[1]Субсидия_факт!DY22</f>
        <v>0</v>
      </c>
      <c r="GD24" s="454">
        <f t="shared" si="42"/>
        <v>0</v>
      </c>
      <c r="GE24" s="719"/>
      <c r="GF24" s="673"/>
      <c r="GG24" s="454">
        <f t="shared" si="43"/>
        <v>1348233</v>
      </c>
      <c r="GH24" s="511">
        <f>[1]Субсидия_факт!DU22</f>
        <v>377507.09</v>
      </c>
      <c r="GI24" s="751">
        <f>[1]Субсидия_факт!EA22</f>
        <v>970725.91</v>
      </c>
      <c r="GJ24" s="454">
        <f t="shared" si="44"/>
        <v>1348233</v>
      </c>
      <c r="GK24" s="756">
        <f t="shared" ref="GK24:GL27" si="201">GH24</f>
        <v>377507.09</v>
      </c>
      <c r="GL24" s="810">
        <f t="shared" si="201"/>
        <v>970725.91</v>
      </c>
      <c r="GM24" s="659">
        <f t="shared" si="45"/>
        <v>1348233</v>
      </c>
      <c r="GN24" s="749">
        <f>'Проверочная  таблица'!GH24-'Проверочная  таблица'!GT24</f>
        <v>377507.09</v>
      </c>
      <c r="GO24" s="671">
        <f>'Проверочная  таблица'!GI24-'Проверочная  таблица'!GU24</f>
        <v>970725.91</v>
      </c>
      <c r="GP24" s="653">
        <f t="shared" si="46"/>
        <v>1348233</v>
      </c>
      <c r="GQ24" s="756">
        <f>'Проверочная  таблица'!GK24-'Проверочная  таблица'!GW24</f>
        <v>377507.09</v>
      </c>
      <c r="GR24" s="768">
        <f>'Проверочная  таблица'!GL24-'Проверочная  таблица'!GX24</f>
        <v>970725.91</v>
      </c>
      <c r="GS24" s="659">
        <f t="shared" si="47"/>
        <v>0</v>
      </c>
      <c r="GT24" s="511">
        <f>[1]Субсидия_факт!DW22</f>
        <v>0</v>
      </c>
      <c r="GU24" s="890">
        <f>[1]Субсидия_факт!EC22</f>
        <v>0</v>
      </c>
      <c r="GV24" s="659">
        <f t="shared" si="48"/>
        <v>0</v>
      </c>
      <c r="GW24" s="511"/>
      <c r="GX24" s="751"/>
      <c r="GY24" s="454">
        <f t="shared" si="49"/>
        <v>0</v>
      </c>
      <c r="GZ24" s="756">
        <f>[1]Субсидия_факт!AE22</f>
        <v>0</v>
      </c>
      <c r="HA24" s="671">
        <f>[1]Субсидия_факт!AG22</f>
        <v>0</v>
      </c>
      <c r="HB24" s="454">
        <f t="shared" si="50"/>
        <v>0</v>
      </c>
      <c r="HC24" s="756"/>
      <c r="HD24" s="671"/>
      <c r="HE24" s="747">
        <f t="shared" si="51"/>
        <v>96884.060000000027</v>
      </c>
      <c r="HF24" s="756">
        <f>[1]Субсидия_факт!BW22</f>
        <v>0</v>
      </c>
      <c r="HG24" s="671">
        <f>[1]Субсидия_факт!CC22</f>
        <v>0</v>
      </c>
      <c r="HH24" s="511">
        <f>[1]Субсидия_факт!CU22</f>
        <v>86956.520000000019</v>
      </c>
      <c r="HI24" s="890">
        <f>[1]Субсидия_факт!DA22</f>
        <v>9927.5400000000009</v>
      </c>
      <c r="HJ24" s="511">
        <f>[1]Субсидия_факт!DG22</f>
        <v>0</v>
      </c>
      <c r="HK24" s="890">
        <f>[1]Субсидия_факт!DM22</f>
        <v>0</v>
      </c>
      <c r="HL24" s="511">
        <f>[1]Субсидия_факт!EI22</f>
        <v>0</v>
      </c>
      <c r="HM24" s="751">
        <f>[1]Субсидия_факт!EO22</f>
        <v>0</v>
      </c>
      <c r="HN24" s="747">
        <f t="shared" si="52"/>
        <v>96884.060000000027</v>
      </c>
      <c r="HO24" s="610"/>
      <c r="HP24" s="673"/>
      <c r="HQ24" s="756">
        <f t="shared" si="156"/>
        <v>86956.520000000019</v>
      </c>
      <c r="HR24" s="768">
        <f t="shared" si="188"/>
        <v>9927.5400000000009</v>
      </c>
      <c r="HS24" s="756">
        <f t="shared" si="157"/>
        <v>0</v>
      </c>
      <c r="HT24" s="1480">
        <f t="shared" si="158"/>
        <v>0</v>
      </c>
      <c r="HU24" s="610"/>
      <c r="HV24" s="673"/>
      <c r="HW24" s="747">
        <f t="shared" si="53"/>
        <v>0</v>
      </c>
      <c r="HX24" s="756">
        <f>[1]Субсидия_факт!BY22</f>
        <v>0</v>
      </c>
      <c r="HY24" s="671">
        <f>[1]Субсидия_факт!CE22</f>
        <v>0</v>
      </c>
      <c r="HZ24" s="511">
        <f>[1]Субсидия_факт!CW22</f>
        <v>0</v>
      </c>
      <c r="IA24" s="751">
        <f>[1]Субсидия_факт!DC22</f>
        <v>0</v>
      </c>
      <c r="IB24" s="511">
        <f>[1]Субсидия_факт!DI22</f>
        <v>0</v>
      </c>
      <c r="IC24" s="890">
        <f>[1]Субсидия_факт!DO22</f>
        <v>0</v>
      </c>
      <c r="ID24" s="511">
        <f>[1]Субсидия_факт!EK22</f>
        <v>0</v>
      </c>
      <c r="IE24" s="751">
        <f>[1]Субсидия_факт!EQ22</f>
        <v>0</v>
      </c>
      <c r="IF24" s="747">
        <f t="shared" si="54"/>
        <v>0</v>
      </c>
      <c r="IG24" s="610"/>
      <c r="IH24" s="673"/>
      <c r="II24" s="749">
        <f t="shared" si="159"/>
        <v>0</v>
      </c>
      <c r="IJ24" s="671">
        <f t="shared" si="160"/>
        <v>0</v>
      </c>
      <c r="IK24" s="777"/>
      <c r="IL24" s="673"/>
      <c r="IM24" s="610"/>
      <c r="IN24" s="673"/>
      <c r="IO24" s="750">
        <f t="shared" si="55"/>
        <v>0</v>
      </c>
      <c r="IP24" s="756">
        <f>'Проверочная  таблица'!HX24-JH24</f>
        <v>0</v>
      </c>
      <c r="IQ24" s="671">
        <f>'Проверочная  таблица'!HY24-JI24</f>
        <v>0</v>
      </c>
      <c r="IR24" s="756">
        <f>'Проверочная  таблица'!HZ24-JJ24</f>
        <v>0</v>
      </c>
      <c r="IS24" s="671">
        <f>'Проверочная  таблица'!IA24-JK24</f>
        <v>0</v>
      </c>
      <c r="IT24" s="749">
        <f>'Проверочная  таблица'!IB24-JL24</f>
        <v>0</v>
      </c>
      <c r="IU24" s="671">
        <f>'Проверочная  таблица'!IC24-JM24</f>
        <v>0</v>
      </c>
      <c r="IV24" s="756">
        <f>'Проверочная  таблица'!ID24-JN24</f>
        <v>0</v>
      </c>
      <c r="IW24" s="671">
        <f>'Проверочная  таблица'!IE24-JO24</f>
        <v>0</v>
      </c>
      <c r="IX24" s="750">
        <f t="shared" si="56"/>
        <v>0</v>
      </c>
      <c r="IY24" s="756">
        <f>'Проверочная  таблица'!IG24-JQ24</f>
        <v>0</v>
      </c>
      <c r="IZ24" s="810">
        <f>'Проверочная  таблица'!IH24-JR24</f>
        <v>0</v>
      </c>
      <c r="JA24" s="756">
        <f>'Проверочная  таблица'!II24-JS24</f>
        <v>0</v>
      </c>
      <c r="JB24" s="768">
        <f>'Проверочная  таблица'!IJ24-JT24</f>
        <v>0</v>
      </c>
      <c r="JC24" s="756">
        <f>'Проверочная  таблица'!IK24-JU24</f>
        <v>0</v>
      </c>
      <c r="JD24" s="768">
        <f>'Проверочная  таблица'!IL24-JV24</f>
        <v>0</v>
      </c>
      <c r="JE24" s="756">
        <f>'Проверочная  таблица'!IM24-JW24</f>
        <v>0</v>
      </c>
      <c r="JF24" s="768">
        <f>'Проверочная  таблица'!IN24-JX24</f>
        <v>0</v>
      </c>
      <c r="JG24" s="659">
        <f t="shared" si="57"/>
        <v>0</v>
      </c>
      <c r="JH24" s="756">
        <f>[1]Субсидия_факт!CA22</f>
        <v>0</v>
      </c>
      <c r="JI24" s="671">
        <f>[1]Субсидия_факт!CG22</f>
        <v>0</v>
      </c>
      <c r="JJ24" s="511">
        <f>[1]Субсидия_факт!CY22</f>
        <v>0</v>
      </c>
      <c r="JK24" s="751">
        <f>[1]Субсидия_факт!DE22</f>
        <v>0</v>
      </c>
      <c r="JL24" s="511">
        <f>[1]Субсидия_факт!DK22</f>
        <v>0</v>
      </c>
      <c r="JM24" s="890">
        <f>[1]Субсидия_факт!DQ22</f>
        <v>0</v>
      </c>
      <c r="JN24" s="511">
        <f>[1]Субсидия_факт!EM22</f>
        <v>0</v>
      </c>
      <c r="JO24" s="751">
        <f>[1]Субсидия_факт!ES22</f>
        <v>0</v>
      </c>
      <c r="JP24" s="750">
        <f t="shared" si="58"/>
        <v>0</v>
      </c>
      <c r="JQ24" s="610"/>
      <c r="JR24" s="673"/>
      <c r="JS24" s="513"/>
      <c r="JT24" s="788"/>
      <c r="JU24" s="513"/>
      <c r="JV24" s="885"/>
      <c r="JW24" s="610"/>
      <c r="JX24" s="673"/>
      <c r="JY24" s="454">
        <f t="shared" si="161"/>
        <v>0</v>
      </c>
      <c r="JZ24" s="511">
        <f>[1]Субсидия_факт!BC22</f>
        <v>0</v>
      </c>
      <c r="KA24" s="890">
        <f>[1]Субсидия_факт!BE22</f>
        <v>0</v>
      </c>
      <c r="KB24" s="511">
        <f>[1]Субсидия_факт!BG22</f>
        <v>0</v>
      </c>
      <c r="KC24" s="890">
        <f>[1]Субсидия_факт!BI22</f>
        <v>0</v>
      </c>
      <c r="KD24" s="454">
        <f t="shared" si="162"/>
        <v>0</v>
      </c>
      <c r="KE24" s="610"/>
      <c r="KF24" s="673"/>
      <c r="KG24" s="610"/>
      <c r="KH24" s="673"/>
      <c r="KI24" s="524">
        <f t="shared" si="59"/>
        <v>854064.25</v>
      </c>
      <c r="KJ24" s="511">
        <f>[1]Субсидия_факт!HO22</f>
        <v>854064.25</v>
      </c>
      <c r="KK24" s="523">
        <f>[1]Субсидия_факт!HQ22</f>
        <v>0</v>
      </c>
      <c r="KL24" s="686">
        <f>[1]Субсидия_факт!HS22</f>
        <v>0</v>
      </c>
      <c r="KM24" s="636">
        <f>[1]Субсидия_факт!IC22</f>
        <v>0</v>
      </c>
      <c r="KN24" s="686">
        <f>[1]Субсидия_факт!IE22</f>
        <v>0</v>
      </c>
      <c r="KO24" s="487">
        <f t="shared" si="163"/>
        <v>854064.25</v>
      </c>
      <c r="KP24" s="756">
        <f t="shared" si="164"/>
        <v>854064.25</v>
      </c>
      <c r="KQ24" s="333"/>
      <c r="KR24" s="682"/>
      <c r="KS24" s="462"/>
      <c r="KT24" s="682"/>
      <c r="KU24" s="454">
        <f t="shared" si="60"/>
        <v>0</v>
      </c>
      <c r="KV24" s="513">
        <f>[1]Субсидия_факт!HY22</f>
        <v>0</v>
      </c>
      <c r="KW24" s="513">
        <f>[1]Субсидия_факт!HU22</f>
        <v>0</v>
      </c>
      <c r="KX24" s="751">
        <f>[1]Субсидия_факт!HW22</f>
        <v>0</v>
      </c>
      <c r="KY24" s="454">
        <f t="shared" si="61"/>
        <v>0</v>
      </c>
      <c r="KZ24" s="756">
        <f t="shared" si="165"/>
        <v>0</v>
      </c>
      <c r="LA24" s="610"/>
      <c r="LB24" s="673"/>
      <c r="LC24" s="886">
        <f t="shared" si="62"/>
        <v>0</v>
      </c>
      <c r="LD24" s="886">
        <f t="shared" si="63"/>
        <v>0</v>
      </c>
      <c r="LE24" s="657">
        <f t="shared" si="64"/>
        <v>0</v>
      </c>
      <c r="LF24" s="1038">
        <f t="shared" si="65"/>
        <v>0</v>
      </c>
      <c r="LG24" s="753">
        <f t="shared" si="166"/>
        <v>0</v>
      </c>
      <c r="LH24" s="511">
        <f>[1]Субсидия_факт!OG22</f>
        <v>0</v>
      </c>
      <c r="LI24" s="890">
        <f>[1]Субсидия_факт!OM22</f>
        <v>0</v>
      </c>
      <c r="LJ24" s="511">
        <f>[1]Субсидия_факт!OS22</f>
        <v>0</v>
      </c>
      <c r="LK24" s="890">
        <f>[1]Субсидия_факт!OY22</f>
        <v>0</v>
      </c>
      <c r="LL24" s="756">
        <f>[1]Субсидия_факт!PE22</f>
        <v>0</v>
      </c>
      <c r="LM24" s="768">
        <f>[1]Субсидия_факт!PI22</f>
        <v>0</v>
      </c>
      <c r="LN24" s="753">
        <f t="shared" si="66"/>
        <v>0</v>
      </c>
      <c r="LO24" s="777"/>
      <c r="LP24" s="673"/>
      <c r="LQ24" s="610"/>
      <c r="LR24" s="776"/>
      <c r="LS24" s="610"/>
      <c r="LT24" s="776"/>
      <c r="LU24" s="753">
        <f t="shared" si="67"/>
        <v>0</v>
      </c>
      <c r="LV24" s="511">
        <f>[1]Субсидия_факт!OI22</f>
        <v>0</v>
      </c>
      <c r="LW24" s="890">
        <f>[1]Субсидия_факт!OO22</f>
        <v>0</v>
      </c>
      <c r="LX24" s="513">
        <f>[1]Субсидия_факт!OU22</f>
        <v>0</v>
      </c>
      <c r="LY24" s="751">
        <f>[1]Субсидия_факт!PA22</f>
        <v>0</v>
      </c>
      <c r="LZ24" s="754">
        <f t="shared" si="68"/>
        <v>0</v>
      </c>
      <c r="MA24" s="610"/>
      <c r="MB24" s="776"/>
      <c r="MC24" s="610"/>
      <c r="MD24" s="673"/>
      <c r="ME24" s="652">
        <f t="shared" si="69"/>
        <v>0</v>
      </c>
      <c r="MF24" s="642">
        <f>'Проверочная  таблица'!LV24-MP24</f>
        <v>0</v>
      </c>
      <c r="MG24" s="678">
        <f>'Проверочная  таблица'!LW24-MQ24</f>
        <v>0</v>
      </c>
      <c r="MH24" s="765">
        <f>'Проверочная  таблица'!LY24-MR24</f>
        <v>0</v>
      </c>
      <c r="MI24" s="607">
        <f>'Проверочная  таблица'!LX24-MS24</f>
        <v>0</v>
      </c>
      <c r="MJ24" s="755">
        <f t="shared" si="70"/>
        <v>0</v>
      </c>
      <c r="MK24" s="749">
        <f>'Проверочная  таблица'!MA24-MU24</f>
        <v>0</v>
      </c>
      <c r="ML24" s="671">
        <f>'Проверочная  таблица'!MB24-MV24</f>
        <v>0</v>
      </c>
      <c r="MM24" s="768">
        <f>'Проверочная  таблица'!MD24-MW24</f>
        <v>0</v>
      </c>
      <c r="MN24" s="756">
        <f>'Проверочная  таблица'!MC24-MX24</f>
        <v>0</v>
      </c>
      <c r="MO24" s="779">
        <f t="shared" si="71"/>
        <v>0</v>
      </c>
      <c r="MP24" s="511">
        <f>[1]Субсидия_факт!OK22</f>
        <v>0</v>
      </c>
      <c r="MQ24" s="890">
        <f>[1]Субсидия_факт!OQ22</f>
        <v>0</v>
      </c>
      <c r="MR24" s="890">
        <f>[1]Субсидия_факт!PC22</f>
        <v>0</v>
      </c>
      <c r="MS24" s="511">
        <f>[1]Субсидия_факт!OW22</f>
        <v>0</v>
      </c>
      <c r="MT24" s="755">
        <f t="shared" si="72"/>
        <v>0</v>
      </c>
      <c r="MU24" s="749">
        <f t="shared" si="167"/>
        <v>0</v>
      </c>
      <c r="MV24" s="671">
        <f t="shared" si="168"/>
        <v>0</v>
      </c>
      <c r="MW24" s="768">
        <f t="shared" si="169"/>
        <v>0</v>
      </c>
      <c r="MX24" s="756">
        <f t="shared" si="73"/>
        <v>0</v>
      </c>
      <c r="MY24" s="524">
        <f>SUM('Проверочная  таблица'!MZ24:MZ24)</f>
        <v>0</v>
      </c>
      <c r="MZ24" s="333"/>
      <c r="NA24" s="524">
        <f>SUM('Проверочная  таблица'!NB24:NB24)</f>
        <v>0</v>
      </c>
      <c r="NB24" s="462"/>
      <c r="NC24" s="524">
        <f t="shared" si="74"/>
        <v>0</v>
      </c>
      <c r="ND24" s="452">
        <f>[1]Субсидия_факт!IU22</f>
        <v>0</v>
      </c>
      <c r="NE24" s="686">
        <f>[1]Субсидия_факт!IY22</f>
        <v>0</v>
      </c>
      <c r="NF24" s="517">
        <f t="shared" si="75"/>
        <v>0</v>
      </c>
      <c r="NG24" s="529"/>
      <c r="NH24" s="774"/>
      <c r="NI24" s="570">
        <f t="shared" si="76"/>
        <v>0</v>
      </c>
      <c r="NJ24" s="1000">
        <f>'Проверочная  таблица'!ND24-NP24</f>
        <v>0</v>
      </c>
      <c r="NK24" s="678">
        <f>'Проверочная  таблица'!NE24-NQ24</f>
        <v>0</v>
      </c>
      <c r="NL24" s="570">
        <f t="shared" si="77"/>
        <v>0</v>
      </c>
      <c r="NM24" s="476">
        <f>'Проверочная  таблица'!NG24-NS24</f>
        <v>0</v>
      </c>
      <c r="NN24" s="678">
        <f>'Проверочная  таблица'!NH24-NT24</f>
        <v>0</v>
      </c>
      <c r="NO24" s="633">
        <f t="shared" si="78"/>
        <v>0</v>
      </c>
      <c r="NP24" s="452">
        <f>[1]Субсидия_факт!IW22</f>
        <v>0</v>
      </c>
      <c r="NQ24" s="686">
        <f>[1]Субсидия_факт!JA22</f>
        <v>0</v>
      </c>
      <c r="NR24" s="570">
        <f t="shared" si="79"/>
        <v>0</v>
      </c>
      <c r="NS24" s="476"/>
      <c r="NT24" s="710"/>
      <c r="NU24" s="517">
        <f t="shared" si="170"/>
        <v>0</v>
      </c>
      <c r="NV24" s="332">
        <f>[1]Субсидия_факт!FA22</f>
        <v>0</v>
      </c>
      <c r="NW24" s="786">
        <f>[1]Субсидия_факт!FC22</f>
        <v>0</v>
      </c>
      <c r="NX24" s="517">
        <f t="shared" si="171"/>
        <v>0</v>
      </c>
      <c r="NY24" s="462"/>
      <c r="NZ24" s="682"/>
      <c r="OA24" s="517">
        <f t="shared" si="172"/>
        <v>0</v>
      </c>
      <c r="OD24" s="517">
        <f t="shared" si="173"/>
        <v>0</v>
      </c>
      <c r="OG24" s="526">
        <f t="shared" si="174"/>
        <v>0</v>
      </c>
      <c r="OJ24" s="526">
        <f t="shared" si="175"/>
        <v>0</v>
      </c>
      <c r="OM24" s="526">
        <f t="shared" si="176"/>
        <v>0</v>
      </c>
      <c r="OP24" s="526">
        <f t="shared" si="177"/>
        <v>0</v>
      </c>
      <c r="OS24" s="524">
        <f t="shared" si="80"/>
        <v>0</v>
      </c>
      <c r="OT24" s="498">
        <f>[1]Субсидия_факт!JO22</f>
        <v>0</v>
      </c>
      <c r="OU24" s="786">
        <f>[1]Субсидия_факт!JQ22</f>
        <v>0</v>
      </c>
      <c r="OV24" s="332">
        <f>[1]Субсидия_факт!KS22</f>
        <v>0</v>
      </c>
      <c r="OW24" s="686">
        <f>[1]Субсидия_факт!KY22</f>
        <v>0</v>
      </c>
      <c r="OX24" s="498">
        <f>[1]Субсидия_факт!KG22</f>
        <v>0</v>
      </c>
      <c r="OY24" s="786">
        <f>[1]Субсидия_факт!KM22</f>
        <v>0</v>
      </c>
      <c r="OZ24" s="517">
        <f t="shared" si="81"/>
        <v>0</v>
      </c>
      <c r="PA24" s="462"/>
      <c r="PB24" s="682"/>
      <c r="PC24" s="333"/>
      <c r="PD24" s="704"/>
      <c r="PE24" s="462"/>
      <c r="PF24" s="794"/>
      <c r="PG24" s="524">
        <f t="shared" si="82"/>
        <v>0</v>
      </c>
      <c r="PH24" s="498">
        <f>[1]Субсидия_факт!JC22</f>
        <v>0</v>
      </c>
      <c r="PI24" s="931">
        <f>[1]Субсидия_факт!JG22</f>
        <v>0</v>
      </c>
      <c r="PJ24" s="476">
        <f>[1]Субсидия_факт!JS22</f>
        <v>0</v>
      </c>
      <c r="PK24" s="678">
        <f>[1]Субсидия_факт!JW22</f>
        <v>0</v>
      </c>
      <c r="PL24" s="498">
        <f>[1]Субсидия_факт!KU22</f>
        <v>0</v>
      </c>
      <c r="PM24" s="791">
        <f>[1]Субсидия_факт!LA22</f>
        <v>0</v>
      </c>
      <c r="PN24" s="498">
        <f>[1]Субсидия_факт!KI22</f>
        <v>0</v>
      </c>
      <c r="PO24" s="686">
        <f>[1]Субсидия_факт!KO22</f>
        <v>0</v>
      </c>
      <c r="PP24" s="517">
        <f t="shared" si="83"/>
        <v>0</v>
      </c>
      <c r="PQ24" s="529"/>
      <c r="PR24" s="771"/>
      <c r="PS24" s="462"/>
      <c r="PT24" s="682"/>
      <c r="PU24" s="529"/>
      <c r="PV24" s="774"/>
      <c r="PW24" s="529"/>
      <c r="PX24" s="682"/>
      <c r="PY24" s="570">
        <f t="shared" si="84"/>
        <v>0</v>
      </c>
      <c r="PZ24" s="452">
        <f t="shared" si="85"/>
        <v>0</v>
      </c>
      <c r="QA24" s="686">
        <f t="shared" si="86"/>
        <v>0</v>
      </c>
      <c r="QB24" s="430">
        <f t="shared" si="87"/>
        <v>0</v>
      </c>
      <c r="QC24" s="686">
        <f t="shared" si="88"/>
        <v>0</v>
      </c>
      <c r="QD24" s="332">
        <f t="shared" si="89"/>
        <v>0</v>
      </c>
      <c r="QE24" s="686">
        <f t="shared" si="90"/>
        <v>0</v>
      </c>
      <c r="QF24" s="430">
        <f t="shared" si="91"/>
        <v>0</v>
      </c>
      <c r="QG24" s="686">
        <f t="shared" si="92"/>
        <v>0</v>
      </c>
      <c r="QH24" s="633">
        <f t="shared" si="93"/>
        <v>0</v>
      </c>
      <c r="QI24" s="452">
        <f t="shared" si="94"/>
        <v>0</v>
      </c>
      <c r="QJ24" s="686">
        <f t="shared" si="95"/>
        <v>0</v>
      </c>
      <c r="QK24" s="430">
        <f t="shared" si="96"/>
        <v>0</v>
      </c>
      <c r="QL24" s="686">
        <f t="shared" si="97"/>
        <v>0</v>
      </c>
      <c r="QM24" s="332">
        <f t="shared" si="98"/>
        <v>0</v>
      </c>
      <c r="QN24" s="786">
        <f t="shared" si="99"/>
        <v>0</v>
      </c>
      <c r="QO24" s="332">
        <f t="shared" si="100"/>
        <v>0</v>
      </c>
      <c r="QP24" s="686">
        <f t="shared" si="101"/>
        <v>0</v>
      </c>
      <c r="QQ24" s="570">
        <f t="shared" si="102"/>
        <v>0</v>
      </c>
      <c r="QR24" s="430">
        <f>[1]Субсидия_факт!JE22</f>
        <v>0</v>
      </c>
      <c r="QS24" s="931">
        <f>[1]Субсидия_факт!JI22</f>
        <v>0</v>
      </c>
      <c r="QT24" s="607">
        <f>[1]Субсидия_факт!JU22</f>
        <v>0</v>
      </c>
      <c r="QU24" s="678">
        <f>[1]Субсидия_факт!JY22</f>
        <v>0</v>
      </c>
      <c r="QV24" s="332">
        <f>[1]Субсидия_факт!KW22</f>
        <v>0</v>
      </c>
      <c r="QW24" s="791">
        <f>[1]Субсидия_факт!LC22</f>
        <v>0</v>
      </c>
      <c r="QX24" s="332">
        <f>[1]Субсидия_факт!KK22</f>
        <v>0</v>
      </c>
      <c r="QY24" s="686">
        <f>[1]Субсидия_факт!KQ22</f>
        <v>0</v>
      </c>
      <c r="QZ24" s="570">
        <f t="shared" si="103"/>
        <v>0</v>
      </c>
      <c r="RA24" s="530"/>
      <c r="RB24" s="678"/>
      <c r="RC24" s="462"/>
      <c r="RD24" s="682"/>
      <c r="RE24" s="530"/>
      <c r="RF24" s="794"/>
      <c r="RG24" s="529"/>
      <c r="RH24" s="765"/>
      <c r="RI24" s="487">
        <f>[1]Субсидия_факт!PW22</f>
        <v>0</v>
      </c>
      <c r="RJ24" s="1240">
        <f t="shared" si="178"/>
        <v>0</v>
      </c>
      <c r="RK24" s="522">
        <f>'Прочая  субсидия_МР  и  ГО'!B20</f>
        <v>23588260.120000001</v>
      </c>
      <c r="RL24" s="517">
        <f>'Прочая  субсидия_МР  и  ГО'!C20</f>
        <v>21927747.5</v>
      </c>
      <c r="RM24" s="522">
        <f>'Прочая  субсидия_БП'!B20</f>
        <v>122438992.76000001</v>
      </c>
      <c r="RN24" s="524">
        <f>'Прочая  субсидия_БП'!C20</f>
        <v>70900805.909999996</v>
      </c>
      <c r="RO24" s="565">
        <f>'Прочая  субсидия_БП'!D20</f>
        <v>122438992.76000001</v>
      </c>
      <c r="RP24" s="564">
        <f>'Прочая  субсидия_БП'!E20</f>
        <v>70900805.909999996</v>
      </c>
      <c r="RQ24" s="571">
        <f>'Прочая  субсидия_БП'!F20</f>
        <v>0</v>
      </c>
      <c r="RR24" s="564">
        <f>'Прочая  субсидия_БП'!G20</f>
        <v>0</v>
      </c>
      <c r="RS24" s="487">
        <f t="shared" si="104"/>
        <v>545705468</v>
      </c>
      <c r="RT24" s="452">
        <f>'Проверочная  таблица'!SR24+'Проверочная  таблица'!RY24+'Проверочная  таблица'!SA24+'Проверочная  таблица'!SC24</f>
        <v>537867438</v>
      </c>
      <c r="RU24" s="332">
        <f>'Проверочная  таблица'!SS24+'Проверочная  таблица'!SE24+'Проверочная  таблица'!SK24+'Проверочная  таблица'!SG24+'Проверочная  таблица'!SO24+'Проверочная  таблица'!SI24+SM24</f>
        <v>7838030</v>
      </c>
      <c r="RV24" s="517">
        <f t="shared" si="105"/>
        <v>422376819.61000001</v>
      </c>
      <c r="RW24" s="430">
        <f>'Проверочная  таблица'!SU24+'Проверочная  таблица'!RZ24+'Проверочная  таблица'!SB24+'Проверочная  таблица'!SD24</f>
        <v>416159353</v>
      </c>
      <c r="RX24" s="332">
        <f>'Проверочная  таблица'!SV24+'Проверочная  таблица'!SF24+'Проверочная  таблица'!SL24+'Проверочная  таблица'!SH24+'Проверочная  таблица'!SP24+'Проверочная  таблица'!SJ24+SN24</f>
        <v>6217466.6099999994</v>
      </c>
      <c r="RY24" s="559">
        <f>'Субвенция  на  полномочия'!B20</f>
        <v>512300438</v>
      </c>
      <c r="RZ24" s="454">
        <f>'Субвенция  на  полномочия'!C20</f>
        <v>397954353</v>
      </c>
      <c r="SA24" s="732">
        <f>[1]Субвенция_факт!P21*1000</f>
        <v>17267000</v>
      </c>
      <c r="SB24" s="1389">
        <v>12100000</v>
      </c>
      <c r="SC24" s="732">
        <f>[1]Субвенция_факт!K21*1000</f>
        <v>7335000</v>
      </c>
      <c r="SD24" s="1389">
        <v>5140000</v>
      </c>
      <c r="SE24" s="732">
        <f>[1]Субвенция_факт!AD21*1000</f>
        <v>2907300</v>
      </c>
      <c r="SF24" s="735">
        <v>1772371.96</v>
      </c>
      <c r="SG24" s="732">
        <f>[1]Субвенция_факт!AE21*1000</f>
        <v>7000</v>
      </c>
      <c r="SH24" s="735">
        <v>7000</v>
      </c>
      <c r="SI24" s="732">
        <f>[1]Субвенция_факт!E21*1000</f>
        <v>0</v>
      </c>
      <c r="SJ24" s="735"/>
      <c r="SK24" s="732">
        <f>[1]Субвенция_факт!F21*1000</f>
        <v>0</v>
      </c>
      <c r="SL24" s="866"/>
      <c r="SM24" s="163">
        <f>[1]Субвенция_факт!G21*1000</f>
        <v>1223730</v>
      </c>
      <c r="SN24" s="867">
        <v>1191816</v>
      </c>
      <c r="SO24" s="732">
        <f>[1]Субвенция_факт!H21*1000</f>
        <v>0</v>
      </c>
      <c r="SP24" s="735"/>
      <c r="SQ24" s="524">
        <f t="shared" si="106"/>
        <v>4665000</v>
      </c>
      <c r="SR24" s="865">
        <f>[1]Субвенция_факт!AC21*1000</f>
        <v>965000</v>
      </c>
      <c r="SS24" s="1040">
        <f>[1]Субвенция_факт!AB21*1000</f>
        <v>3700000</v>
      </c>
      <c r="ST24" s="517">
        <f t="shared" si="107"/>
        <v>4211278.6500000004</v>
      </c>
      <c r="SU24" s="1503">
        <v>965000</v>
      </c>
      <c r="SV24" s="1506">
        <v>3246278.65</v>
      </c>
      <c r="SW24" s="271">
        <f>'Проверочная  таблица'!VC24+'Проверочная  таблица'!UY24+'Проверочная  таблица'!TQ24+'Проверочная  таблица'!TU24+SY24+'Проверочная  таблица'!US24+UC24+UI24</f>
        <v>0</v>
      </c>
      <c r="SX24" s="163">
        <f>'Проверочная  таблица'!VE24+'Проверочная  таблица'!VA24+'Проверочная  таблица'!TS24+'Проверочная  таблица'!TW24+TH24+'Проверочная  таблица'!UV24+UF24+UL24</f>
        <v>0</v>
      </c>
      <c r="SY24" s="1129">
        <f t="shared" si="108"/>
        <v>0</v>
      </c>
      <c r="SZ24" s="1114">
        <f>'[1]Иные межбюджетные трансферты'!O22</f>
        <v>0</v>
      </c>
      <c r="TA24" s="1111">
        <f>'[1]Иные межбюджетные трансферты'!Q22</f>
        <v>0</v>
      </c>
      <c r="TB24" s="879">
        <f>'[1]Иные межбюджетные трансферты'!I22</f>
        <v>0</v>
      </c>
      <c r="TC24" s="1111">
        <f>'[1]Иные межбюджетные трансферты'!K22</f>
        <v>0</v>
      </c>
      <c r="TD24" s="879">
        <f>'[1]Иные межбюджетные трансферты'!S22</f>
        <v>0</v>
      </c>
      <c r="TE24" s="958">
        <f>'[1]Иные межбюджетные трансферты'!U22</f>
        <v>0</v>
      </c>
      <c r="TF24" s="1236">
        <f>'[1]Иные межбюджетные трансферты'!M22</f>
        <v>0</v>
      </c>
      <c r="TG24" s="1231">
        <f>'[1]Иные межбюджетные трансферты'!W22</f>
        <v>0</v>
      </c>
      <c r="TH24" s="991">
        <f t="shared" si="109"/>
        <v>0</v>
      </c>
      <c r="TI24" s="984"/>
      <c r="TJ24" s="982"/>
      <c r="TK24" s="879"/>
      <c r="TL24" s="958"/>
      <c r="TM24" s="879"/>
      <c r="TN24" s="958"/>
      <c r="TO24" s="984"/>
      <c r="TP24" s="1269"/>
      <c r="TQ24" s="973">
        <f t="shared" si="179"/>
        <v>0</v>
      </c>
      <c r="TR24" s="1458">
        <f>'[1]Иные межбюджетные трансферты'!Y22</f>
        <v>0</v>
      </c>
      <c r="TS24" s="973">
        <f t="shared" si="179"/>
        <v>0</v>
      </c>
      <c r="TT24" s="958"/>
      <c r="TU24" s="973">
        <f t="shared" ref="TU24" si="202">TV24</f>
        <v>0</v>
      </c>
      <c r="TV24" s="958">
        <f>'[1]Иные межбюджетные трансферты'!AA22</f>
        <v>0</v>
      </c>
      <c r="TW24" s="973">
        <f t="shared" si="110"/>
        <v>0</v>
      </c>
      <c r="TX24" s="1111"/>
      <c r="TY24" s="976">
        <f t="shared" si="111"/>
        <v>0</v>
      </c>
      <c r="TZ24" s="970">
        <f t="shared" si="112"/>
        <v>0</v>
      </c>
      <c r="UA24" s="1266">
        <f t="shared" si="181"/>
        <v>0</v>
      </c>
      <c r="UB24" s="976">
        <f t="shared" si="182"/>
        <v>0</v>
      </c>
      <c r="UC24" s="973">
        <f t="shared" si="113"/>
        <v>0</v>
      </c>
      <c r="UD24" s="1272">
        <f>'[1]Иные межбюджетные трансферты'!AE22</f>
        <v>0</v>
      </c>
      <c r="UE24" s="1145">
        <f>'[1]Иные межбюджетные трансферты'!AK22</f>
        <v>0</v>
      </c>
      <c r="UF24" s="973">
        <f t="shared" si="114"/>
        <v>0</v>
      </c>
      <c r="UG24" s="958"/>
      <c r="UH24" s="958"/>
      <c r="UI24" s="973">
        <f t="shared" si="115"/>
        <v>0</v>
      </c>
      <c r="UJ24" s="1272">
        <f>'[1]Иные межбюджетные трансферты'!AG22</f>
        <v>0</v>
      </c>
      <c r="UK24" s="1145">
        <f>'[1]Иные межбюджетные трансферты'!AM22</f>
        <v>0</v>
      </c>
      <c r="UL24" s="973">
        <f t="shared" si="116"/>
        <v>0</v>
      </c>
      <c r="UM24" s="958"/>
      <c r="UN24" s="1111"/>
      <c r="UO24" s="976">
        <f t="shared" si="183"/>
        <v>0</v>
      </c>
      <c r="UP24" s="970">
        <f t="shared" si="184"/>
        <v>0</v>
      </c>
      <c r="UQ24" s="970">
        <f t="shared" si="185"/>
        <v>0</v>
      </c>
      <c r="UR24" s="1462">
        <f t="shared" si="186"/>
        <v>0</v>
      </c>
      <c r="US24" s="1263">
        <f t="shared" si="117"/>
        <v>0</v>
      </c>
      <c r="UT24" s="1040">
        <f>'[1]Иные межбюджетные трансферты'!E22</f>
        <v>0</v>
      </c>
      <c r="UU24" s="1126">
        <f>'[1]Иные межбюджетные трансферты'!G22</f>
        <v>0</v>
      </c>
      <c r="UV24" s="733">
        <f t="shared" si="118"/>
        <v>0</v>
      </c>
      <c r="UW24" s="1040"/>
      <c r="UX24" s="1126"/>
      <c r="UY24" s="880">
        <f t="shared" si="119"/>
        <v>0</v>
      </c>
      <c r="UZ24" s="958"/>
      <c r="VA24" s="1039">
        <f t="shared" si="120"/>
        <v>0</v>
      </c>
      <c r="VB24" s="890"/>
      <c r="VC24" s="510">
        <f t="shared" si="121"/>
        <v>0</v>
      </c>
      <c r="VD24" s="874">
        <f>'[1]Иные межбюджетные трансферты'!AS22</f>
        <v>0</v>
      </c>
      <c r="VE24" s="510">
        <f t="shared" si="122"/>
        <v>0</v>
      </c>
      <c r="VF24" s="513"/>
      <c r="VG24" s="886">
        <f t="shared" si="123"/>
        <v>0</v>
      </c>
      <c r="VH24" s="511">
        <f>'Проверочная  таблица'!VD24-VL24</f>
        <v>0</v>
      </c>
      <c r="VI24" s="886">
        <f t="shared" si="124"/>
        <v>0</v>
      </c>
      <c r="VJ24" s="511">
        <f>'Проверочная  таблица'!VF24-VN24</f>
        <v>0</v>
      </c>
      <c r="VK24" s="886">
        <f t="shared" si="125"/>
        <v>0</v>
      </c>
      <c r="VL24" s="874">
        <f>'[1]Иные межбюджетные трансферты'!AU22</f>
        <v>0</v>
      </c>
      <c r="VM24" s="1038">
        <f t="shared" si="126"/>
        <v>0</v>
      </c>
      <c r="VN24" s="513"/>
      <c r="VO24" s="517">
        <f>VQ24+'Проверочная  таблица'!VY24+VU24+'Проверочная  таблица'!WC24+VW24+'Проверочная  таблица'!WE24</f>
        <v>-34000000</v>
      </c>
      <c r="VP24" s="517">
        <f>VR24+'Проверочная  таблица'!VZ24+VV24+'Проверочная  таблица'!WD24+VX24+'Проверочная  таблица'!WF24</f>
        <v>350000</v>
      </c>
      <c r="VQ24" s="531">
        <v>3000000</v>
      </c>
      <c r="VR24" s="531"/>
      <c r="VS24" s="531">
        <v>350000</v>
      </c>
      <c r="VT24" s="531">
        <v>350000</v>
      </c>
      <c r="VU24" s="528">
        <f t="shared" si="127"/>
        <v>350000</v>
      </c>
      <c r="VV24" s="526">
        <f t="shared" si="128"/>
        <v>350000</v>
      </c>
      <c r="VW24" s="532"/>
      <c r="VX24" s="521"/>
      <c r="VY24" s="531">
        <v>-37000000</v>
      </c>
      <c r="VZ24" s="531">
        <v>0</v>
      </c>
      <c r="WA24" s="531">
        <v>-350000</v>
      </c>
      <c r="WB24" s="531"/>
      <c r="WC24" s="528">
        <f t="shared" si="129"/>
        <v>-350000</v>
      </c>
      <c r="WD24" s="526">
        <f t="shared" si="130"/>
        <v>0</v>
      </c>
      <c r="WE24" s="521"/>
      <c r="WF24" s="521"/>
      <c r="WG24" s="1356">
        <f>'Проверочная  таблица'!VY24+'Проверочная  таблица'!WA24</f>
        <v>-37350000</v>
      </c>
      <c r="WH24" s="1356">
        <f>'Проверочная  таблица'!VZ24+'Проверочная  таблица'!WB24</f>
        <v>0</v>
      </c>
      <c r="WI24" s="1481"/>
    </row>
    <row r="25" spans="1:607" s="329" customFormat="1" ht="25.5" customHeight="1" x14ac:dyDescent="0.3">
      <c r="A25" s="338" t="s">
        <v>101</v>
      </c>
      <c r="B25" s="524">
        <f>D25+AI25+'Проверочная  таблица'!RS25+'Проверочная  таблица'!SW25</f>
        <v>480064137.62</v>
      </c>
      <c r="C25" s="517">
        <f>E25+'Проверочная  таблица'!RV25+AJ25+'Проверочная  таблица'!SX25</f>
        <v>387887436.34999996</v>
      </c>
      <c r="D25" s="522">
        <f t="shared" si="0"/>
        <v>103115669</v>
      </c>
      <c r="E25" s="524">
        <f t="shared" si="1"/>
        <v>83631400</v>
      </c>
      <c r="F25" s="1062">
        <f>'[1]Дотация  из  ОБ_факт'!I21+'[1]Дотация  из  ОБ_факт'!Q21</f>
        <v>35842600</v>
      </c>
      <c r="G25" s="1366">
        <v>33244900</v>
      </c>
      <c r="H25" s="563">
        <f>'[1]Дотация  из  ОБ_факт'!K21</f>
        <v>21074200</v>
      </c>
      <c r="I25" s="1366">
        <v>17049800</v>
      </c>
      <c r="J25" s="564">
        <f t="shared" si="2"/>
        <v>21074200</v>
      </c>
      <c r="K25" s="571">
        <f t="shared" si="3"/>
        <v>17049800</v>
      </c>
      <c r="L25" s="883">
        <f>'[1]Дотация  из  ОБ_факт'!O21</f>
        <v>0</v>
      </c>
      <c r="M25" s="745"/>
      <c r="N25" s="563">
        <f>'[1]Дотация  из  ОБ_факт'!U21</f>
        <v>25334169</v>
      </c>
      <c r="O25" s="1366">
        <v>16906000</v>
      </c>
      <c r="P25" s="784">
        <f>'[1]Дотация  из  ОБ_факт'!W21</f>
        <v>19664700</v>
      </c>
      <c r="Q25" s="1366">
        <v>15230700</v>
      </c>
      <c r="R25" s="571">
        <f t="shared" si="4"/>
        <v>19664700</v>
      </c>
      <c r="S25" s="564">
        <f t="shared" si="5"/>
        <v>15230700</v>
      </c>
      <c r="T25" s="1059">
        <f>'[1]Дотация  из  ОБ_факт'!AA21</f>
        <v>0</v>
      </c>
      <c r="U25" s="331"/>
      <c r="V25" s="784">
        <f>'[1]Дотация  из  ОБ_факт'!AE21+'[1]Дотация  из  ОБ_факт'!AG21+'[1]Дотация  из  ОБ_факт'!AK21</f>
        <v>1200000</v>
      </c>
      <c r="W25" s="163">
        <f t="shared" si="6"/>
        <v>1200000</v>
      </c>
      <c r="X25" s="567"/>
      <c r="Y25" s="566">
        <v>1200000</v>
      </c>
      <c r="Z25" s="567"/>
      <c r="AA25" s="563">
        <f>'[1]Дотация  из  ОБ_факт'!AC21+'[1]Дотация  из  ОБ_факт'!AI21</f>
        <v>0</v>
      </c>
      <c r="AB25" s="165">
        <f t="shared" si="7"/>
        <v>0</v>
      </c>
      <c r="AC25" s="566"/>
      <c r="AD25" s="567"/>
      <c r="AE25" s="564">
        <f t="shared" si="8"/>
        <v>0</v>
      </c>
      <c r="AF25" s="571">
        <f t="shared" si="9"/>
        <v>0</v>
      </c>
      <c r="AG25" s="565">
        <f>'[1]Дотация  из  ОБ_факт'!AI21</f>
        <v>0</v>
      </c>
      <c r="AH25" s="1370">
        <f t="shared" si="131"/>
        <v>0</v>
      </c>
      <c r="AI25" s="559">
        <f>'Проверочная  таблица'!KI25+NU25+OA25+'Проверочная  таблица'!RK25+'Проверочная  таблица'!RM25+DE25+DG25+DM25+DO25+'Проверочная  таблица'!MY25+'Проверочная  таблица'!NC25+CG25+CQ25+'Проверочная  таблица'!HE25+'Проверочная  таблица'!HW25+'Проверочная  таблица'!ES25+'Проверочная  таблица'!JY25+DU25+'Проверочная  таблица'!GA25+'Проверочная  таблица'!GG25+'Проверочная  таблица'!LG25+'Проверочная  таблица'!LU25+FU25+'Проверочная  таблица'!KU25+RI25+OS25+PG25+EK25+AK25+AW25+FO25+FE25+GY25+EY25</f>
        <v>164676209.62</v>
      </c>
      <c r="AJ25" s="487">
        <f>'Проверочная  таблица'!KO25+NX25+OD25+'Проверочная  таблица'!RL25+'Проверочная  таблица'!RN25+DF25+DH25+DN25+DP25+'Проверочная  таблица'!NA25+'Проверочная  таблица'!NF25+CL25+CV25+'Проверочная  таблица'!HN25+'Проверочная  таблица'!IF25+'Проверочная  таблица'!EV25+'Проверочная  таблица'!KD25+EC25+'Проверочная  таблица'!GD25+'Проверочная  таблица'!GJ25+'Проверочная  таблица'!LN25+'Проверочная  таблица'!LZ25+FX25+'Проверочная  таблица'!KY25+FR25+RJ25+PP25+OZ25+EM25+AQ25+BC25+FJ25+HB25+FB25</f>
        <v>140463348.39999998</v>
      </c>
      <c r="AK25" s="487">
        <f t="shared" si="10"/>
        <v>0</v>
      </c>
      <c r="AL25" s="332">
        <f>[1]Субсидия_факт!CO23</f>
        <v>0</v>
      </c>
      <c r="AM25" s="523">
        <f>[1]Субсидия_факт!FK23</f>
        <v>0</v>
      </c>
      <c r="AN25" s="498">
        <f>[1]Субсидия_факт!FW23</f>
        <v>0</v>
      </c>
      <c r="AO25" s="523">
        <f>[1]Субсидия_факт!KA23</f>
        <v>0</v>
      </c>
      <c r="AP25" s="332">
        <f>[1]Субсидия_факт!LE23</f>
        <v>0</v>
      </c>
      <c r="AQ25" s="487">
        <f t="shared" si="11"/>
        <v>0</v>
      </c>
      <c r="AR25" s="462"/>
      <c r="AS25" s="462"/>
      <c r="AT25" s="462"/>
      <c r="AU25" s="462"/>
      <c r="AV25" s="462"/>
      <c r="AW25" s="487">
        <f t="shared" si="132"/>
        <v>0</v>
      </c>
      <c r="AX25" s="452">
        <f>[1]Субсидия_факт!CQ23</f>
        <v>0</v>
      </c>
      <c r="AY25" s="332">
        <f>[1]Субсидия_факт!FO23</f>
        <v>0</v>
      </c>
      <c r="AZ25" s="476">
        <f>[1]Субсидия_факт!JK23</f>
        <v>0</v>
      </c>
      <c r="BA25" s="496">
        <f>[1]Субсидия_факт!KC23</f>
        <v>0</v>
      </c>
      <c r="BB25" s="498">
        <f>[1]Субсидия_факт!LG23</f>
        <v>0</v>
      </c>
      <c r="BC25" s="487">
        <f t="shared" si="133"/>
        <v>0</v>
      </c>
      <c r="BD25" s="529"/>
      <c r="BE25" s="529"/>
      <c r="BF25" s="333"/>
      <c r="BG25" s="530"/>
      <c r="BH25" s="529"/>
      <c r="BI25" s="657">
        <f t="shared" si="134"/>
        <v>0</v>
      </c>
      <c r="BJ25" s="1025">
        <f t="shared" si="12"/>
        <v>0</v>
      </c>
      <c r="BK25" s="452">
        <f t="shared" si="13"/>
        <v>0</v>
      </c>
      <c r="BL25" s="452">
        <f t="shared" si="14"/>
        <v>0</v>
      </c>
      <c r="BM25" s="332">
        <f t="shared" si="15"/>
        <v>0</v>
      </c>
      <c r="BN25" s="488">
        <f t="shared" si="16"/>
        <v>0</v>
      </c>
      <c r="BO25" s="657">
        <f t="shared" si="135"/>
        <v>0</v>
      </c>
      <c r="BP25" s="607">
        <f t="shared" si="17"/>
        <v>0</v>
      </c>
      <c r="BQ25" s="496">
        <f t="shared" si="18"/>
        <v>0</v>
      </c>
      <c r="BR25" s="332">
        <f t="shared" si="19"/>
        <v>0</v>
      </c>
      <c r="BS25" s="430">
        <f t="shared" si="20"/>
        <v>0</v>
      </c>
      <c r="BT25" s="332">
        <f t="shared" si="21"/>
        <v>0</v>
      </c>
      <c r="BU25" s="657">
        <f t="shared" si="136"/>
        <v>0</v>
      </c>
      <c r="BV25" s="452">
        <f>[1]Субсидия_факт!CS23</f>
        <v>0</v>
      </c>
      <c r="BW25" s="332">
        <f>[1]Субсидия_факт!FQ23</f>
        <v>0</v>
      </c>
      <c r="BX25" s="476">
        <f>[1]Субсидия_факт!JM23</f>
        <v>0</v>
      </c>
      <c r="BY25" s="430">
        <f>[1]Субсидия_факт!KE23</f>
        <v>0</v>
      </c>
      <c r="BZ25" s="332">
        <f>[1]Субсидия_факт!LI23</f>
        <v>0</v>
      </c>
      <c r="CA25" s="659">
        <f t="shared" si="137"/>
        <v>0</v>
      </c>
      <c r="CB25" s="782"/>
      <c r="CC25" s="529"/>
      <c r="CD25" s="462"/>
      <c r="CE25" s="529"/>
      <c r="CF25" s="529"/>
      <c r="CG25" s="517">
        <f t="shared" si="22"/>
        <v>19784458</v>
      </c>
      <c r="CH25" s="430">
        <f>[1]Субсидия_факт!LM23</f>
        <v>0</v>
      </c>
      <c r="CI25" s="452">
        <f>[1]Субсидия_факт!LS23</f>
        <v>19784458</v>
      </c>
      <c r="CJ25" s="332">
        <f>[1]Субсидия_факт!ME23</f>
        <v>0</v>
      </c>
      <c r="CK25" s="511">
        <f>[1]Субсидия_факт!MK23</f>
        <v>0</v>
      </c>
      <c r="CL25" s="517">
        <f t="shared" si="23"/>
        <v>10588923.27</v>
      </c>
      <c r="CM25" s="529"/>
      <c r="CN25" s="529">
        <v>10588923.27</v>
      </c>
      <c r="CO25" s="529"/>
      <c r="CP25" s="610"/>
      <c r="CQ25" s="517">
        <f t="shared" si="24"/>
        <v>0</v>
      </c>
      <c r="CR25" s="452">
        <f>[1]Субсидия_факт!LO23</f>
        <v>0</v>
      </c>
      <c r="CS25" s="452">
        <f>[1]Субсидия_факт!LU23</f>
        <v>0</v>
      </c>
      <c r="CT25" s="332">
        <f>[1]Субсидия_факт!MG23</f>
        <v>0</v>
      </c>
      <c r="CU25" s="511">
        <f>[1]Субсидия_факт!MM23</f>
        <v>0</v>
      </c>
      <c r="CV25" s="517">
        <f t="shared" si="25"/>
        <v>0</v>
      </c>
      <c r="CW25" s="529"/>
      <c r="CX25" s="530"/>
      <c r="CY25" s="782"/>
      <c r="CZ25" s="719"/>
      <c r="DA25" s="528">
        <f t="shared" si="138"/>
        <v>0</v>
      </c>
      <c r="DB25" s="526">
        <f t="shared" si="139"/>
        <v>0</v>
      </c>
      <c r="DC25" s="525">
        <f t="shared" si="140"/>
        <v>0</v>
      </c>
      <c r="DD25" s="528">
        <f t="shared" si="141"/>
        <v>0</v>
      </c>
      <c r="DE25" s="524">
        <f>[1]Субсидия_факт!GC23</f>
        <v>0</v>
      </c>
      <c r="DF25" s="330"/>
      <c r="DG25" s="522">
        <f>[1]Субсидия_факт!GE23</f>
        <v>0</v>
      </c>
      <c r="DH25" s="330"/>
      <c r="DI25" s="757">
        <f t="shared" si="142"/>
        <v>0</v>
      </c>
      <c r="DJ25" s="570">
        <f t="shared" si="143"/>
        <v>0</v>
      </c>
      <c r="DK25" s="757">
        <f>[1]Субсидия_факт!GG23</f>
        <v>0</v>
      </c>
      <c r="DL25" s="1387">
        <f t="shared" si="144"/>
        <v>0</v>
      </c>
      <c r="DM25" s="516">
        <f>[1]Субсидия_факт!GI23</f>
        <v>0</v>
      </c>
      <c r="DN25" s="604"/>
      <c r="DO25" s="517">
        <f>[1]Субсидия_факт!GK23</f>
        <v>0</v>
      </c>
      <c r="DP25" s="604"/>
      <c r="DQ25" s="526">
        <f t="shared" si="28"/>
        <v>0</v>
      </c>
      <c r="DR25" s="526">
        <f t="shared" si="29"/>
        <v>0</v>
      </c>
      <c r="DS25" s="653">
        <f t="shared" si="30"/>
        <v>0</v>
      </c>
      <c r="DT25" s="1385">
        <f t="shared" si="145"/>
        <v>0</v>
      </c>
      <c r="DU25" s="517">
        <f t="shared" si="31"/>
        <v>0</v>
      </c>
      <c r="DV25" s="523">
        <f>[1]Субсидия_факт!E23</f>
        <v>0</v>
      </c>
      <c r="DW25" s="1025">
        <f>[1]Субсидия_факт!G23</f>
        <v>0</v>
      </c>
      <c r="DX25" s="678">
        <f>[1]Субсидия_факт!I23</f>
        <v>0</v>
      </c>
      <c r="DY25" s="636">
        <f>[1]Субсидия_факт!K23</f>
        <v>0</v>
      </c>
      <c r="DZ25" s="786">
        <f>[1]Субсидия_факт!M23</f>
        <v>0</v>
      </c>
      <c r="EA25" s="498">
        <f>[1]Субсидия_факт!O23</f>
        <v>0</v>
      </c>
      <c r="EB25" s="636">
        <f>[1]Субсидия_факт!Q23</f>
        <v>0</v>
      </c>
      <c r="EC25" s="516">
        <f t="shared" si="32"/>
        <v>0</v>
      </c>
      <c r="ED25" s="530"/>
      <c r="EE25" s="529"/>
      <c r="EF25" s="682"/>
      <c r="EG25" s="529"/>
      <c r="EH25" s="682"/>
      <c r="EI25" s="530"/>
      <c r="EJ25" s="607">
        <f t="shared" si="146"/>
        <v>0</v>
      </c>
      <c r="EK25" s="516">
        <f t="shared" si="147"/>
        <v>0</v>
      </c>
      <c r="EL25" s="1223">
        <f>[1]Субсидия_факт!S23</f>
        <v>0</v>
      </c>
      <c r="EM25" s="524">
        <f t="shared" si="147"/>
        <v>0</v>
      </c>
      <c r="EN25" s="607">
        <f t="shared" si="148"/>
        <v>0</v>
      </c>
      <c r="EO25" s="570">
        <f t="shared" si="149"/>
        <v>0</v>
      </c>
      <c r="EP25" s="633">
        <f t="shared" si="150"/>
        <v>0</v>
      </c>
      <c r="EQ25" s="633">
        <f>[1]Субсидия_факт!U23</f>
        <v>0</v>
      </c>
      <c r="ER25" s="1245">
        <f t="shared" si="151"/>
        <v>0</v>
      </c>
      <c r="ES25" s="487">
        <f t="shared" si="33"/>
        <v>0</v>
      </c>
      <c r="ET25" s="511">
        <f>[1]Субсидия_факт!AU23</f>
        <v>0</v>
      </c>
      <c r="EU25" s="890">
        <f>[1]Субсидия_факт!AW23</f>
        <v>0</v>
      </c>
      <c r="EV25" s="454">
        <f t="shared" si="34"/>
        <v>0</v>
      </c>
      <c r="EW25" s="777"/>
      <c r="EX25" s="1095"/>
      <c r="EY25" s="487">
        <f t="shared" si="35"/>
        <v>0</v>
      </c>
      <c r="EZ25" s="511">
        <f>[1]Субсидия_факт!FY23</f>
        <v>0</v>
      </c>
      <c r="FA25" s="890">
        <f>[1]Субсидия_факт!GA23</f>
        <v>0</v>
      </c>
      <c r="FB25" s="454">
        <f t="shared" si="36"/>
        <v>0</v>
      </c>
      <c r="FC25" s="777"/>
      <c r="FD25" s="1095"/>
      <c r="FE25" s="517">
        <f t="shared" si="152"/>
        <v>0</v>
      </c>
      <c r="FF25" s="430">
        <f>[1]Субсидия_факт!W23</f>
        <v>0</v>
      </c>
      <c r="FG25" s="931">
        <f>[1]Субсидия_факт!Y23</f>
        <v>0</v>
      </c>
      <c r="FH25" s="452">
        <f>[1]Субсидия_факт!AA23</f>
        <v>0</v>
      </c>
      <c r="FI25" s="686">
        <f>[1]Субсидия_факт!AC23</f>
        <v>0</v>
      </c>
      <c r="FJ25" s="516">
        <f t="shared" si="153"/>
        <v>0</v>
      </c>
      <c r="FK25" s="462"/>
      <c r="FL25" s="682"/>
      <c r="FM25" s="462"/>
      <c r="FN25" s="682"/>
      <c r="FO25" s="487">
        <f t="shared" si="37"/>
        <v>0</v>
      </c>
      <c r="FP25" s="511">
        <f>[1]Субсидия_факт!AY23</f>
        <v>0</v>
      </c>
      <c r="FQ25" s="890">
        <f>[1]Субсидия_факт!BA23</f>
        <v>0</v>
      </c>
      <c r="FR25" s="454">
        <f t="shared" si="38"/>
        <v>0</v>
      </c>
      <c r="FS25" s="777"/>
      <c r="FT25" s="673"/>
      <c r="FU25" s="524">
        <f t="shared" si="154"/>
        <v>0</v>
      </c>
      <c r="FV25" s="498">
        <f>[1]Субсидия_факт!EE23</f>
        <v>0</v>
      </c>
      <c r="FW25" s="686">
        <f>[1]Субсидия_факт!EG23</f>
        <v>0</v>
      </c>
      <c r="FX25" s="517">
        <f t="shared" si="155"/>
        <v>0</v>
      </c>
      <c r="FY25" s="529"/>
      <c r="FZ25" s="704"/>
      <c r="GA25" s="559">
        <f t="shared" si="41"/>
        <v>0</v>
      </c>
      <c r="GB25" s="511">
        <f>[1]Субсидия_факт!DS23</f>
        <v>0</v>
      </c>
      <c r="GC25" s="890">
        <f>[1]Субсидия_факт!DY23</f>
        <v>0</v>
      </c>
      <c r="GD25" s="454">
        <f t="shared" si="42"/>
        <v>0</v>
      </c>
      <c r="GE25" s="719"/>
      <c r="GF25" s="673"/>
      <c r="GG25" s="454">
        <f t="shared" si="43"/>
        <v>1348234</v>
      </c>
      <c r="GH25" s="511">
        <f>[1]Субсидия_факт!DU23</f>
        <v>377507.38</v>
      </c>
      <c r="GI25" s="751">
        <f>[1]Субсидия_факт!EA23</f>
        <v>970726.62</v>
      </c>
      <c r="GJ25" s="454">
        <f t="shared" si="44"/>
        <v>1348234</v>
      </c>
      <c r="GK25" s="756">
        <f t="shared" si="201"/>
        <v>377507.38</v>
      </c>
      <c r="GL25" s="810">
        <f t="shared" si="201"/>
        <v>970726.62</v>
      </c>
      <c r="GM25" s="659">
        <f t="shared" si="45"/>
        <v>1348234</v>
      </c>
      <c r="GN25" s="749">
        <f>'Проверочная  таблица'!GH25-'Проверочная  таблица'!GT25</f>
        <v>377507.38</v>
      </c>
      <c r="GO25" s="671">
        <f>'Проверочная  таблица'!GI25-'Проверочная  таблица'!GU25</f>
        <v>970726.62</v>
      </c>
      <c r="GP25" s="653">
        <f t="shared" si="46"/>
        <v>1348234</v>
      </c>
      <c r="GQ25" s="756">
        <f>'Проверочная  таблица'!GK25-'Проверочная  таблица'!GW25</f>
        <v>377507.38</v>
      </c>
      <c r="GR25" s="768">
        <f>'Проверочная  таблица'!GL25-'Проверочная  таблица'!GX25</f>
        <v>970726.62</v>
      </c>
      <c r="GS25" s="659">
        <f t="shared" si="47"/>
        <v>0</v>
      </c>
      <c r="GT25" s="511">
        <f>[1]Субсидия_факт!DW23</f>
        <v>0</v>
      </c>
      <c r="GU25" s="890">
        <f>[1]Субсидия_факт!EC23</f>
        <v>0</v>
      </c>
      <c r="GV25" s="659">
        <f t="shared" si="48"/>
        <v>0</v>
      </c>
      <c r="GW25" s="511"/>
      <c r="GX25" s="751"/>
      <c r="GY25" s="454">
        <f t="shared" si="49"/>
        <v>0</v>
      </c>
      <c r="GZ25" s="756">
        <f>[1]Субсидия_факт!AE23</f>
        <v>0</v>
      </c>
      <c r="HA25" s="671">
        <f>[1]Субсидия_факт!AG23</f>
        <v>0</v>
      </c>
      <c r="HB25" s="454">
        <f t="shared" si="50"/>
        <v>0</v>
      </c>
      <c r="HC25" s="756"/>
      <c r="HD25" s="671"/>
      <c r="HE25" s="747">
        <f t="shared" si="51"/>
        <v>80736.710000000006</v>
      </c>
      <c r="HF25" s="756">
        <f>[1]Субсидия_факт!BW23</f>
        <v>0</v>
      </c>
      <c r="HG25" s="671">
        <f>[1]Субсидия_факт!CC23</f>
        <v>0</v>
      </c>
      <c r="HH25" s="511">
        <f>[1]Субсидия_факт!CU23</f>
        <v>72463.760000000009</v>
      </c>
      <c r="HI25" s="890">
        <f>[1]Субсидия_факт!DA23</f>
        <v>8272.9499999999989</v>
      </c>
      <c r="HJ25" s="511">
        <f>[1]Субсидия_факт!DG23</f>
        <v>0</v>
      </c>
      <c r="HK25" s="890">
        <f>[1]Субсидия_факт!DM23</f>
        <v>0</v>
      </c>
      <c r="HL25" s="511">
        <f>[1]Субсидия_факт!EI23</f>
        <v>0</v>
      </c>
      <c r="HM25" s="751">
        <f>[1]Субсидия_факт!EO23</f>
        <v>0</v>
      </c>
      <c r="HN25" s="747">
        <f t="shared" si="52"/>
        <v>80736.710000000006</v>
      </c>
      <c r="HO25" s="610"/>
      <c r="HP25" s="673"/>
      <c r="HQ25" s="756">
        <f t="shared" si="156"/>
        <v>72463.760000000009</v>
      </c>
      <c r="HR25" s="768">
        <f t="shared" si="188"/>
        <v>8272.9499999999989</v>
      </c>
      <c r="HS25" s="756">
        <f t="shared" si="157"/>
        <v>0</v>
      </c>
      <c r="HT25" s="1480">
        <f t="shared" si="158"/>
        <v>0</v>
      </c>
      <c r="HU25" s="610"/>
      <c r="HV25" s="673"/>
      <c r="HW25" s="747">
        <f t="shared" si="53"/>
        <v>0</v>
      </c>
      <c r="HX25" s="756">
        <f>[1]Субсидия_факт!BY23</f>
        <v>0</v>
      </c>
      <c r="HY25" s="671">
        <f>[1]Субсидия_факт!CE23</f>
        <v>0</v>
      </c>
      <c r="HZ25" s="511">
        <f>[1]Субсидия_факт!CW23</f>
        <v>0</v>
      </c>
      <c r="IA25" s="751">
        <f>[1]Субсидия_факт!DC23</f>
        <v>0</v>
      </c>
      <c r="IB25" s="511">
        <f>[1]Субсидия_факт!DI23</f>
        <v>0</v>
      </c>
      <c r="IC25" s="890">
        <f>[1]Субсидия_факт!DO23</f>
        <v>0</v>
      </c>
      <c r="ID25" s="511">
        <f>[1]Субсидия_факт!EK23</f>
        <v>0</v>
      </c>
      <c r="IE25" s="751">
        <f>[1]Субсидия_факт!EQ23</f>
        <v>0</v>
      </c>
      <c r="IF25" s="747">
        <f t="shared" si="54"/>
        <v>0</v>
      </c>
      <c r="IG25" s="610"/>
      <c r="IH25" s="673"/>
      <c r="II25" s="749">
        <f t="shared" si="159"/>
        <v>0</v>
      </c>
      <c r="IJ25" s="671">
        <f t="shared" si="160"/>
        <v>0</v>
      </c>
      <c r="IK25" s="777"/>
      <c r="IL25" s="673"/>
      <c r="IM25" s="610"/>
      <c r="IN25" s="673"/>
      <c r="IO25" s="750">
        <f t="shared" si="55"/>
        <v>0</v>
      </c>
      <c r="IP25" s="756">
        <f>'Проверочная  таблица'!HX25-JH25</f>
        <v>0</v>
      </c>
      <c r="IQ25" s="671">
        <f>'Проверочная  таблица'!HY25-JI25</f>
        <v>0</v>
      </c>
      <c r="IR25" s="756">
        <f>'Проверочная  таблица'!HZ25-JJ25</f>
        <v>0</v>
      </c>
      <c r="IS25" s="671">
        <f>'Проверочная  таблица'!IA25-JK25</f>
        <v>0</v>
      </c>
      <c r="IT25" s="749">
        <f>'Проверочная  таблица'!IB25-JL25</f>
        <v>0</v>
      </c>
      <c r="IU25" s="671">
        <f>'Проверочная  таблица'!IC25-JM25</f>
        <v>0</v>
      </c>
      <c r="IV25" s="756">
        <f>'Проверочная  таблица'!ID25-JN25</f>
        <v>0</v>
      </c>
      <c r="IW25" s="671">
        <f>'Проверочная  таблица'!IE25-JO25</f>
        <v>0</v>
      </c>
      <c r="IX25" s="750">
        <f t="shared" si="56"/>
        <v>0</v>
      </c>
      <c r="IY25" s="756">
        <f>'Проверочная  таблица'!IG25-JQ25</f>
        <v>0</v>
      </c>
      <c r="IZ25" s="810">
        <f>'Проверочная  таблица'!IH25-JR25</f>
        <v>0</v>
      </c>
      <c r="JA25" s="756">
        <f>'Проверочная  таблица'!II25-JS25</f>
        <v>0</v>
      </c>
      <c r="JB25" s="768">
        <f>'Проверочная  таблица'!IJ25-JT25</f>
        <v>0</v>
      </c>
      <c r="JC25" s="756">
        <f>'Проверочная  таблица'!IK25-JU25</f>
        <v>0</v>
      </c>
      <c r="JD25" s="768">
        <f>'Проверочная  таблица'!IL25-JV25</f>
        <v>0</v>
      </c>
      <c r="JE25" s="756">
        <f>'Проверочная  таблица'!IM25-JW25</f>
        <v>0</v>
      </c>
      <c r="JF25" s="768">
        <f>'Проверочная  таблица'!IN25-JX25</f>
        <v>0</v>
      </c>
      <c r="JG25" s="659">
        <f t="shared" si="57"/>
        <v>0</v>
      </c>
      <c r="JH25" s="756">
        <f>[1]Субсидия_факт!CA23</f>
        <v>0</v>
      </c>
      <c r="JI25" s="671">
        <f>[1]Субсидия_факт!CG23</f>
        <v>0</v>
      </c>
      <c r="JJ25" s="511">
        <f>[1]Субсидия_факт!CY23</f>
        <v>0</v>
      </c>
      <c r="JK25" s="751">
        <f>[1]Субсидия_факт!DE23</f>
        <v>0</v>
      </c>
      <c r="JL25" s="511">
        <f>[1]Субсидия_факт!DK23</f>
        <v>0</v>
      </c>
      <c r="JM25" s="890">
        <f>[1]Субсидия_факт!DQ23</f>
        <v>0</v>
      </c>
      <c r="JN25" s="511">
        <f>[1]Субсидия_факт!EM23</f>
        <v>0</v>
      </c>
      <c r="JO25" s="751">
        <f>[1]Субсидия_факт!ES23</f>
        <v>0</v>
      </c>
      <c r="JP25" s="750">
        <f t="shared" si="58"/>
        <v>0</v>
      </c>
      <c r="JQ25" s="610"/>
      <c r="JR25" s="673"/>
      <c r="JS25" s="513"/>
      <c r="JT25" s="788"/>
      <c r="JU25" s="513"/>
      <c r="JV25" s="885"/>
      <c r="JW25" s="610"/>
      <c r="JX25" s="673"/>
      <c r="JY25" s="454">
        <f t="shared" si="161"/>
        <v>0</v>
      </c>
      <c r="JZ25" s="511">
        <f>[1]Субсидия_факт!BC23</f>
        <v>0</v>
      </c>
      <c r="KA25" s="890">
        <f>[1]Субсидия_факт!BE23</f>
        <v>0</v>
      </c>
      <c r="KB25" s="511">
        <f>[1]Субсидия_факт!BG23</f>
        <v>0</v>
      </c>
      <c r="KC25" s="890">
        <f>[1]Субсидия_факт!BI23</f>
        <v>0</v>
      </c>
      <c r="KD25" s="454">
        <f t="shared" si="162"/>
        <v>0</v>
      </c>
      <c r="KE25" s="610"/>
      <c r="KF25" s="673"/>
      <c r="KG25" s="610"/>
      <c r="KH25" s="673"/>
      <c r="KI25" s="524">
        <f t="shared" si="59"/>
        <v>0</v>
      </c>
      <c r="KJ25" s="511">
        <f>[1]Субсидия_факт!HO23</f>
        <v>0</v>
      </c>
      <c r="KK25" s="523">
        <f>[1]Субсидия_факт!HQ23</f>
        <v>0</v>
      </c>
      <c r="KL25" s="686">
        <f>[1]Субсидия_факт!HS23</f>
        <v>0</v>
      </c>
      <c r="KM25" s="636">
        <f>[1]Субсидия_факт!IC23</f>
        <v>0</v>
      </c>
      <c r="KN25" s="686">
        <f>[1]Субсидия_факт!IE23</f>
        <v>0</v>
      </c>
      <c r="KO25" s="487">
        <f t="shared" si="163"/>
        <v>0</v>
      </c>
      <c r="KP25" s="756">
        <f t="shared" si="164"/>
        <v>0</v>
      </c>
      <c r="KQ25" s="333"/>
      <c r="KR25" s="682"/>
      <c r="KS25" s="462"/>
      <c r="KT25" s="682"/>
      <c r="KU25" s="454">
        <f t="shared" si="60"/>
        <v>0</v>
      </c>
      <c r="KV25" s="513">
        <f>[1]Субсидия_факт!HY23</f>
        <v>0</v>
      </c>
      <c r="KW25" s="513">
        <f>[1]Субсидия_факт!HU23</f>
        <v>0</v>
      </c>
      <c r="KX25" s="751">
        <f>[1]Субсидия_факт!HW23</f>
        <v>0</v>
      </c>
      <c r="KY25" s="454">
        <f t="shared" si="61"/>
        <v>0</v>
      </c>
      <c r="KZ25" s="756">
        <f t="shared" si="165"/>
        <v>0</v>
      </c>
      <c r="LA25" s="610"/>
      <c r="LB25" s="673"/>
      <c r="LC25" s="886">
        <f t="shared" si="62"/>
        <v>0</v>
      </c>
      <c r="LD25" s="886">
        <f t="shared" si="63"/>
        <v>0</v>
      </c>
      <c r="LE25" s="657">
        <f t="shared" si="64"/>
        <v>0</v>
      </c>
      <c r="LF25" s="1038">
        <f t="shared" si="65"/>
        <v>0</v>
      </c>
      <c r="LG25" s="753">
        <f t="shared" si="166"/>
        <v>0</v>
      </c>
      <c r="LH25" s="511">
        <f>[1]Субсидия_факт!OG23</f>
        <v>0</v>
      </c>
      <c r="LI25" s="890">
        <f>[1]Субсидия_факт!OM23</f>
        <v>0</v>
      </c>
      <c r="LJ25" s="511">
        <f>[1]Субсидия_факт!OS23</f>
        <v>0</v>
      </c>
      <c r="LK25" s="890">
        <f>[1]Субсидия_факт!OY23</f>
        <v>0</v>
      </c>
      <c r="LL25" s="756">
        <f>[1]Субсидия_факт!PE23</f>
        <v>0</v>
      </c>
      <c r="LM25" s="768">
        <f>[1]Субсидия_факт!PI23</f>
        <v>0</v>
      </c>
      <c r="LN25" s="753">
        <f t="shared" si="66"/>
        <v>0</v>
      </c>
      <c r="LO25" s="777"/>
      <c r="LP25" s="673"/>
      <c r="LQ25" s="610"/>
      <c r="LR25" s="776"/>
      <c r="LS25" s="610"/>
      <c r="LT25" s="776"/>
      <c r="LU25" s="753">
        <f t="shared" si="67"/>
        <v>0</v>
      </c>
      <c r="LV25" s="511">
        <f>[1]Субсидия_факт!OI23</f>
        <v>0</v>
      </c>
      <c r="LW25" s="890">
        <f>[1]Субсидия_факт!OO23</f>
        <v>0</v>
      </c>
      <c r="LX25" s="513">
        <f>[1]Субсидия_факт!OU23</f>
        <v>0</v>
      </c>
      <c r="LY25" s="751">
        <f>[1]Субсидия_факт!PA23</f>
        <v>0</v>
      </c>
      <c r="LZ25" s="754">
        <f t="shared" si="68"/>
        <v>0</v>
      </c>
      <c r="MA25" s="610"/>
      <c r="MB25" s="776"/>
      <c r="MC25" s="610"/>
      <c r="MD25" s="673"/>
      <c r="ME25" s="652">
        <f t="shared" si="69"/>
        <v>0</v>
      </c>
      <c r="MF25" s="642">
        <f>'Проверочная  таблица'!LV25-MP25</f>
        <v>0</v>
      </c>
      <c r="MG25" s="678">
        <f>'Проверочная  таблица'!LW25-MQ25</f>
        <v>0</v>
      </c>
      <c r="MH25" s="765">
        <f>'Проверочная  таблица'!LY25-MR25</f>
        <v>0</v>
      </c>
      <c r="MI25" s="607">
        <f>'Проверочная  таблица'!LX25-MS25</f>
        <v>0</v>
      </c>
      <c r="MJ25" s="755">
        <f t="shared" si="70"/>
        <v>0</v>
      </c>
      <c r="MK25" s="749">
        <f>'Проверочная  таблица'!MA25-MU25</f>
        <v>0</v>
      </c>
      <c r="ML25" s="671">
        <f>'Проверочная  таблица'!MB25-MV25</f>
        <v>0</v>
      </c>
      <c r="MM25" s="768">
        <f>'Проверочная  таблица'!MD25-MW25</f>
        <v>0</v>
      </c>
      <c r="MN25" s="756">
        <f>'Проверочная  таблица'!MC25-MX25</f>
        <v>0</v>
      </c>
      <c r="MO25" s="779">
        <f t="shared" si="71"/>
        <v>0</v>
      </c>
      <c r="MP25" s="511">
        <f>[1]Субсидия_факт!OK23</f>
        <v>0</v>
      </c>
      <c r="MQ25" s="890">
        <f>[1]Субсидия_факт!OQ23</f>
        <v>0</v>
      </c>
      <c r="MR25" s="890">
        <f>[1]Субсидия_факт!PC23</f>
        <v>0</v>
      </c>
      <c r="MS25" s="511">
        <f>[1]Субсидия_факт!OW23</f>
        <v>0</v>
      </c>
      <c r="MT25" s="755">
        <f t="shared" si="72"/>
        <v>0</v>
      </c>
      <c r="MU25" s="749">
        <f t="shared" si="167"/>
        <v>0</v>
      </c>
      <c r="MV25" s="671">
        <f t="shared" si="168"/>
        <v>0</v>
      </c>
      <c r="MW25" s="768">
        <f t="shared" si="169"/>
        <v>0</v>
      </c>
      <c r="MX25" s="756">
        <f t="shared" si="73"/>
        <v>0</v>
      </c>
      <c r="MY25" s="524">
        <f>SUM('Проверочная  таблица'!MZ25:MZ25)</f>
        <v>0</v>
      </c>
      <c r="MZ25" s="333"/>
      <c r="NA25" s="524">
        <f>SUM('Проверочная  таблица'!NB25:NB25)</f>
        <v>0</v>
      </c>
      <c r="NB25" s="462"/>
      <c r="NC25" s="524">
        <f t="shared" si="74"/>
        <v>0</v>
      </c>
      <c r="ND25" s="452">
        <f>[1]Субсидия_факт!IU23</f>
        <v>0</v>
      </c>
      <c r="NE25" s="686">
        <f>[1]Субсидия_факт!IY23</f>
        <v>0</v>
      </c>
      <c r="NF25" s="517">
        <f t="shared" si="75"/>
        <v>0</v>
      </c>
      <c r="NG25" s="529"/>
      <c r="NH25" s="774"/>
      <c r="NI25" s="570">
        <f t="shared" si="76"/>
        <v>0</v>
      </c>
      <c r="NJ25" s="1000">
        <f>'Проверочная  таблица'!ND25-NP25</f>
        <v>0</v>
      </c>
      <c r="NK25" s="678">
        <f>'Проверочная  таблица'!NE25-NQ25</f>
        <v>0</v>
      </c>
      <c r="NL25" s="570">
        <f t="shared" si="77"/>
        <v>0</v>
      </c>
      <c r="NM25" s="476">
        <f>'Проверочная  таблица'!NG25-NS25</f>
        <v>0</v>
      </c>
      <c r="NN25" s="678">
        <f>'Проверочная  таблица'!NH25-NT25</f>
        <v>0</v>
      </c>
      <c r="NO25" s="633">
        <f t="shared" si="78"/>
        <v>0</v>
      </c>
      <c r="NP25" s="452">
        <f>[1]Субсидия_факт!IW23</f>
        <v>0</v>
      </c>
      <c r="NQ25" s="686">
        <f>[1]Субсидия_факт!JA23</f>
        <v>0</v>
      </c>
      <c r="NR25" s="570">
        <f t="shared" si="79"/>
        <v>0</v>
      </c>
      <c r="NS25" s="476"/>
      <c r="NT25" s="710"/>
      <c r="NU25" s="517">
        <f t="shared" si="170"/>
        <v>0</v>
      </c>
      <c r="NV25" s="332">
        <f>[1]Субсидия_факт!FA23</f>
        <v>0</v>
      </c>
      <c r="NW25" s="786">
        <f>[1]Субсидия_факт!FC23</f>
        <v>0</v>
      </c>
      <c r="NX25" s="517">
        <f t="shared" si="171"/>
        <v>0</v>
      </c>
      <c r="NY25" s="462"/>
      <c r="NZ25" s="682"/>
      <c r="OA25" s="517">
        <f t="shared" si="172"/>
        <v>0</v>
      </c>
      <c r="OD25" s="517">
        <f t="shared" si="173"/>
        <v>0</v>
      </c>
      <c r="OG25" s="526">
        <f t="shared" si="174"/>
        <v>0</v>
      </c>
      <c r="OJ25" s="526">
        <f t="shared" si="175"/>
        <v>0</v>
      </c>
      <c r="OM25" s="526">
        <f t="shared" si="176"/>
        <v>0</v>
      </c>
      <c r="OP25" s="526">
        <f t="shared" si="177"/>
        <v>0</v>
      </c>
      <c r="OS25" s="524">
        <f t="shared" si="80"/>
        <v>0</v>
      </c>
      <c r="OT25" s="498">
        <f>[1]Субсидия_факт!JO23</f>
        <v>0</v>
      </c>
      <c r="OU25" s="786">
        <f>[1]Субсидия_факт!JQ23</f>
        <v>0</v>
      </c>
      <c r="OV25" s="332">
        <f>[1]Субсидия_факт!KS23</f>
        <v>0</v>
      </c>
      <c r="OW25" s="686">
        <f>[1]Субсидия_факт!KY23</f>
        <v>0</v>
      </c>
      <c r="OX25" s="498">
        <f>[1]Субсидия_факт!KG23</f>
        <v>0</v>
      </c>
      <c r="OY25" s="786">
        <f>[1]Субсидия_факт!KM23</f>
        <v>0</v>
      </c>
      <c r="OZ25" s="517">
        <f t="shared" si="81"/>
        <v>0</v>
      </c>
      <c r="PA25" s="462"/>
      <c r="PB25" s="682"/>
      <c r="PC25" s="333"/>
      <c r="PD25" s="704"/>
      <c r="PE25" s="462"/>
      <c r="PF25" s="794"/>
      <c r="PG25" s="524">
        <f t="shared" si="82"/>
        <v>0</v>
      </c>
      <c r="PH25" s="498">
        <f>[1]Субсидия_факт!JC23</f>
        <v>0</v>
      </c>
      <c r="PI25" s="931">
        <f>[1]Субсидия_факт!JG23</f>
        <v>0</v>
      </c>
      <c r="PJ25" s="476">
        <f>[1]Субсидия_факт!JS23</f>
        <v>0</v>
      </c>
      <c r="PK25" s="678">
        <f>[1]Субсидия_факт!JW23</f>
        <v>0</v>
      </c>
      <c r="PL25" s="498">
        <f>[1]Субсидия_факт!KU23</f>
        <v>0</v>
      </c>
      <c r="PM25" s="791">
        <f>[1]Субсидия_факт!LA23</f>
        <v>0</v>
      </c>
      <c r="PN25" s="498">
        <f>[1]Субсидия_факт!KI23</f>
        <v>0</v>
      </c>
      <c r="PO25" s="686">
        <f>[1]Субсидия_факт!KO23</f>
        <v>0</v>
      </c>
      <c r="PP25" s="517">
        <f t="shared" si="83"/>
        <v>0</v>
      </c>
      <c r="PQ25" s="529"/>
      <c r="PR25" s="771"/>
      <c r="PS25" s="462"/>
      <c r="PT25" s="682"/>
      <c r="PU25" s="529"/>
      <c r="PV25" s="774"/>
      <c r="PW25" s="529"/>
      <c r="PX25" s="682"/>
      <c r="PY25" s="570">
        <f t="shared" si="84"/>
        <v>0</v>
      </c>
      <c r="PZ25" s="452">
        <f t="shared" si="85"/>
        <v>0</v>
      </c>
      <c r="QA25" s="686">
        <f t="shared" si="86"/>
        <v>0</v>
      </c>
      <c r="QB25" s="430">
        <f t="shared" si="87"/>
        <v>0</v>
      </c>
      <c r="QC25" s="686">
        <f t="shared" si="88"/>
        <v>0</v>
      </c>
      <c r="QD25" s="332">
        <f t="shared" si="89"/>
        <v>0</v>
      </c>
      <c r="QE25" s="686">
        <f t="shared" si="90"/>
        <v>0</v>
      </c>
      <c r="QF25" s="430">
        <f t="shared" si="91"/>
        <v>0</v>
      </c>
      <c r="QG25" s="686">
        <f t="shared" si="92"/>
        <v>0</v>
      </c>
      <c r="QH25" s="633">
        <f t="shared" si="93"/>
        <v>0</v>
      </c>
      <c r="QI25" s="452">
        <f t="shared" si="94"/>
        <v>0</v>
      </c>
      <c r="QJ25" s="686">
        <f t="shared" si="95"/>
        <v>0</v>
      </c>
      <c r="QK25" s="430">
        <f t="shared" si="96"/>
        <v>0</v>
      </c>
      <c r="QL25" s="686">
        <f t="shared" si="97"/>
        <v>0</v>
      </c>
      <c r="QM25" s="332">
        <f t="shared" si="98"/>
        <v>0</v>
      </c>
      <c r="QN25" s="786">
        <f t="shared" si="99"/>
        <v>0</v>
      </c>
      <c r="QO25" s="332">
        <f t="shared" si="100"/>
        <v>0</v>
      </c>
      <c r="QP25" s="686">
        <f t="shared" si="101"/>
        <v>0</v>
      </c>
      <c r="QQ25" s="570">
        <f t="shared" si="102"/>
        <v>0</v>
      </c>
      <c r="QR25" s="430">
        <f>[1]Субсидия_факт!JE23</f>
        <v>0</v>
      </c>
      <c r="QS25" s="931">
        <f>[1]Субсидия_факт!JI23</f>
        <v>0</v>
      </c>
      <c r="QT25" s="607">
        <f>[1]Субсидия_факт!JU23</f>
        <v>0</v>
      </c>
      <c r="QU25" s="678">
        <f>[1]Субсидия_факт!JY23</f>
        <v>0</v>
      </c>
      <c r="QV25" s="332">
        <f>[1]Субсидия_факт!KW23</f>
        <v>0</v>
      </c>
      <c r="QW25" s="791">
        <f>[1]Субсидия_факт!LC23</f>
        <v>0</v>
      </c>
      <c r="QX25" s="332">
        <f>[1]Субсидия_факт!KK23</f>
        <v>0</v>
      </c>
      <c r="QY25" s="686">
        <f>[1]Субсидия_факт!KQ23</f>
        <v>0</v>
      </c>
      <c r="QZ25" s="570">
        <f t="shared" si="103"/>
        <v>0</v>
      </c>
      <c r="RA25" s="530"/>
      <c r="RB25" s="678"/>
      <c r="RC25" s="462"/>
      <c r="RD25" s="682"/>
      <c r="RE25" s="530"/>
      <c r="RF25" s="794"/>
      <c r="RG25" s="529"/>
      <c r="RH25" s="765"/>
      <c r="RI25" s="487">
        <f>[1]Субсидия_факт!PW23</f>
        <v>18923066.91</v>
      </c>
      <c r="RJ25" s="1240">
        <f t="shared" si="178"/>
        <v>18923066.91</v>
      </c>
      <c r="RK25" s="522">
        <f>'Прочая  субсидия_МР  и  ГО'!B21</f>
        <v>91628408.659999996</v>
      </c>
      <c r="RL25" s="517">
        <f>'Прочая  субсидия_МР  и  ГО'!C21</f>
        <v>87876618.169999987</v>
      </c>
      <c r="RM25" s="522">
        <f>'Прочая  субсидия_БП'!B21</f>
        <v>32911305.34</v>
      </c>
      <c r="RN25" s="524">
        <f>'Прочая  субсидия_БП'!C21</f>
        <v>21645769.34</v>
      </c>
      <c r="RO25" s="565">
        <f>'Прочая  субсидия_БП'!D21</f>
        <v>32911305.34</v>
      </c>
      <c r="RP25" s="564">
        <f>'Прочая  субсидия_БП'!E21</f>
        <v>21645769.34</v>
      </c>
      <c r="RQ25" s="571">
        <f>'Прочая  субсидия_БП'!F21</f>
        <v>0</v>
      </c>
      <c r="RR25" s="564">
        <f>'Прочая  субсидия_БП'!G21</f>
        <v>0</v>
      </c>
      <c r="RS25" s="487">
        <f t="shared" si="104"/>
        <v>212272259</v>
      </c>
      <c r="RT25" s="452">
        <f>'Проверочная  таблица'!SR25+'Проверочная  таблица'!RY25+'Проверочная  таблица'!SA25+'Проверочная  таблица'!SC25</f>
        <v>207750325</v>
      </c>
      <c r="RU25" s="332">
        <f>'Проверочная  таблица'!SS25+'Проверочная  таблица'!SE25+'Проверочная  таблица'!SK25+'Проверочная  таблица'!SG25+'Проверочная  таблица'!SO25+'Проверочная  таблица'!SI25+SM25</f>
        <v>4521934</v>
      </c>
      <c r="RV25" s="517">
        <f t="shared" si="105"/>
        <v>163792687.94999999</v>
      </c>
      <c r="RW25" s="430">
        <f>'Проверочная  таблица'!SU25+'Проверочная  таблица'!RZ25+'Проверочная  таблица'!SB25+'Проверочная  таблица'!SD25</f>
        <v>160072665</v>
      </c>
      <c r="RX25" s="332">
        <f>'Проверочная  таблица'!SV25+'Проверочная  таблица'!SF25+'Проверочная  таблица'!SL25+'Проверочная  таблица'!SH25+'Проверочная  таблица'!SP25+'Проверочная  таблица'!SJ25+SN25</f>
        <v>3720022.95</v>
      </c>
      <c r="RY25" s="559">
        <f>'Субвенция  на  полномочия'!B21</f>
        <v>198524325</v>
      </c>
      <c r="RZ25" s="454">
        <f>'Субвенция  на  полномочия'!C21</f>
        <v>152857715</v>
      </c>
      <c r="SA25" s="732">
        <f>[1]Субвенция_факт!P22*1000</f>
        <v>5448000</v>
      </c>
      <c r="SB25" s="1389">
        <v>4262950</v>
      </c>
      <c r="SC25" s="732">
        <f>[1]Субвенция_факт!K22*1000</f>
        <v>2856000</v>
      </c>
      <c r="SD25" s="1389">
        <v>2030000</v>
      </c>
      <c r="SE25" s="732">
        <f>[1]Субвенция_факт!AD22*1000</f>
        <v>1321300</v>
      </c>
      <c r="SF25" s="735">
        <v>967614.93</v>
      </c>
      <c r="SG25" s="732">
        <f>[1]Субвенция_факт!AE22*1000</f>
        <v>2000</v>
      </c>
      <c r="SH25" s="735"/>
      <c r="SI25" s="732">
        <f>[1]Субвенция_факт!E22*1000</f>
        <v>1198634.0000000002</v>
      </c>
      <c r="SJ25" s="735">
        <v>1191816</v>
      </c>
      <c r="SK25" s="732">
        <f>[1]Субвенция_факт!F22*1000</f>
        <v>0</v>
      </c>
      <c r="SL25" s="866"/>
      <c r="SM25" s="163">
        <f>[1]Субвенция_факт!G22*1000</f>
        <v>0</v>
      </c>
      <c r="SN25" s="867"/>
      <c r="SO25" s="732">
        <f>[1]Субвенция_факт!H22*1000</f>
        <v>0</v>
      </c>
      <c r="SP25" s="735"/>
      <c r="SQ25" s="524">
        <f t="shared" si="106"/>
        <v>2922000</v>
      </c>
      <c r="SR25" s="865">
        <f>[1]Субвенция_факт!AC22*1000</f>
        <v>922000</v>
      </c>
      <c r="SS25" s="1040">
        <f>[1]Субвенция_факт!AB22*1000</f>
        <v>2000000</v>
      </c>
      <c r="ST25" s="517">
        <f t="shared" si="107"/>
        <v>2482592.02</v>
      </c>
      <c r="SU25" s="1503">
        <v>922000</v>
      </c>
      <c r="SV25" s="1506">
        <v>1560592.02</v>
      </c>
      <c r="SW25" s="271">
        <f>'Проверочная  таблица'!VC25+'Проверочная  таблица'!UY25+'Проверочная  таблица'!TQ25+'Проверочная  таблица'!TU25+SY25+'Проверочная  таблица'!US25+UC25+UI25</f>
        <v>0</v>
      </c>
      <c r="SX25" s="163">
        <f>'Проверочная  таблица'!VE25+'Проверочная  таблица'!VA25+'Проверочная  таблица'!TS25+'Проверочная  таблица'!TW25+TH25+'Проверочная  таблица'!UV25+UF25+UL25</f>
        <v>0</v>
      </c>
      <c r="SY25" s="1129">
        <f t="shared" si="108"/>
        <v>0</v>
      </c>
      <c r="SZ25" s="1114">
        <f>'[1]Иные межбюджетные трансферты'!O23</f>
        <v>0</v>
      </c>
      <c r="TA25" s="1111">
        <f>'[1]Иные межбюджетные трансферты'!Q23</f>
        <v>0</v>
      </c>
      <c r="TB25" s="879">
        <f>'[1]Иные межбюджетные трансферты'!I23</f>
        <v>0</v>
      </c>
      <c r="TC25" s="1111">
        <f>'[1]Иные межбюджетные трансферты'!K23</f>
        <v>0</v>
      </c>
      <c r="TD25" s="879">
        <f>'[1]Иные межбюджетные трансферты'!S23</f>
        <v>0</v>
      </c>
      <c r="TE25" s="958">
        <f>'[1]Иные межбюджетные трансферты'!U23</f>
        <v>0</v>
      </c>
      <c r="TF25" s="1236">
        <f>'[1]Иные межбюджетные трансферты'!M23</f>
        <v>0</v>
      </c>
      <c r="TG25" s="1231">
        <f>'[1]Иные межбюджетные трансферты'!W23</f>
        <v>0</v>
      </c>
      <c r="TH25" s="991">
        <f t="shared" si="109"/>
        <v>0</v>
      </c>
      <c r="TI25" s="984"/>
      <c r="TJ25" s="982"/>
      <c r="TK25" s="879"/>
      <c r="TL25" s="958"/>
      <c r="TM25" s="879"/>
      <c r="TN25" s="958"/>
      <c r="TO25" s="984"/>
      <c r="TP25" s="1269"/>
      <c r="TQ25" s="973">
        <f t="shared" si="179"/>
        <v>0</v>
      </c>
      <c r="TR25" s="1458">
        <f>'[1]Иные межбюджетные трансферты'!Y23</f>
        <v>0</v>
      </c>
      <c r="TS25" s="973">
        <f t="shared" si="179"/>
        <v>0</v>
      </c>
      <c r="TT25" s="958"/>
      <c r="TU25" s="973">
        <f t="shared" ref="TU25" si="203">TV25</f>
        <v>0</v>
      </c>
      <c r="TV25" s="958">
        <f>'[1]Иные межбюджетные трансферты'!AA23</f>
        <v>0</v>
      </c>
      <c r="TW25" s="973">
        <f t="shared" si="110"/>
        <v>0</v>
      </c>
      <c r="TX25" s="1111"/>
      <c r="TY25" s="976">
        <f t="shared" si="111"/>
        <v>0</v>
      </c>
      <c r="TZ25" s="970">
        <f t="shared" si="112"/>
        <v>0</v>
      </c>
      <c r="UA25" s="1266">
        <f t="shared" si="181"/>
        <v>0</v>
      </c>
      <c r="UB25" s="976">
        <f t="shared" si="182"/>
        <v>0</v>
      </c>
      <c r="UC25" s="973">
        <f t="shared" si="113"/>
        <v>0</v>
      </c>
      <c r="UD25" s="1272">
        <f>'[1]Иные межбюджетные трансферты'!AE23</f>
        <v>0</v>
      </c>
      <c r="UE25" s="1145">
        <f>'[1]Иные межбюджетные трансферты'!AK23</f>
        <v>0</v>
      </c>
      <c r="UF25" s="973">
        <f t="shared" si="114"/>
        <v>0</v>
      </c>
      <c r="UG25" s="958"/>
      <c r="UH25" s="958"/>
      <c r="UI25" s="973">
        <f t="shared" si="115"/>
        <v>0</v>
      </c>
      <c r="UJ25" s="1272">
        <f>'[1]Иные межбюджетные трансферты'!AG23</f>
        <v>0</v>
      </c>
      <c r="UK25" s="1145">
        <f>'[1]Иные межбюджетные трансферты'!AM23</f>
        <v>0</v>
      </c>
      <c r="UL25" s="973">
        <f t="shared" si="116"/>
        <v>0</v>
      </c>
      <c r="UM25" s="958"/>
      <c r="UN25" s="1111"/>
      <c r="UO25" s="976">
        <f t="shared" si="183"/>
        <v>0</v>
      </c>
      <c r="UP25" s="970">
        <f t="shared" si="184"/>
        <v>0</v>
      </c>
      <c r="UQ25" s="970">
        <f t="shared" si="185"/>
        <v>0</v>
      </c>
      <c r="UR25" s="1462">
        <f t="shared" si="186"/>
        <v>0</v>
      </c>
      <c r="US25" s="1263">
        <f t="shared" si="117"/>
        <v>0</v>
      </c>
      <c r="UT25" s="1040">
        <f>'[1]Иные межбюджетные трансферты'!E23</f>
        <v>0</v>
      </c>
      <c r="UU25" s="1126">
        <f>'[1]Иные межбюджетные трансферты'!G23</f>
        <v>0</v>
      </c>
      <c r="UV25" s="733">
        <f t="shared" si="118"/>
        <v>0</v>
      </c>
      <c r="UW25" s="1040"/>
      <c r="UX25" s="1126"/>
      <c r="UY25" s="880">
        <f t="shared" si="119"/>
        <v>0</v>
      </c>
      <c r="UZ25" s="958"/>
      <c r="VA25" s="1039">
        <f t="shared" si="120"/>
        <v>0</v>
      </c>
      <c r="VB25" s="890"/>
      <c r="VC25" s="510">
        <f t="shared" si="121"/>
        <v>0</v>
      </c>
      <c r="VD25" s="874">
        <f>'[1]Иные межбюджетные трансферты'!AS23</f>
        <v>0</v>
      </c>
      <c r="VE25" s="510">
        <f t="shared" si="122"/>
        <v>0</v>
      </c>
      <c r="VF25" s="513"/>
      <c r="VG25" s="886">
        <f t="shared" si="123"/>
        <v>0</v>
      </c>
      <c r="VH25" s="511">
        <f>'Проверочная  таблица'!VD25-VL25</f>
        <v>0</v>
      </c>
      <c r="VI25" s="886">
        <f t="shared" si="124"/>
        <v>0</v>
      </c>
      <c r="VJ25" s="511">
        <f>'Проверочная  таблица'!VF25-VN25</f>
        <v>0</v>
      </c>
      <c r="VK25" s="886">
        <f t="shared" si="125"/>
        <v>0</v>
      </c>
      <c r="VL25" s="874">
        <f>'[1]Иные межбюджетные трансферты'!AU23</f>
        <v>0</v>
      </c>
      <c r="VM25" s="1038">
        <f t="shared" si="126"/>
        <v>0</v>
      </c>
      <c r="VN25" s="513"/>
      <c r="VO25" s="517">
        <f>VQ25+'Проверочная  таблица'!VY25+VU25+'Проверочная  таблица'!WC25+VW25+'Проверочная  таблица'!WE25</f>
        <v>-29420000</v>
      </c>
      <c r="VP25" s="517">
        <f>VR25+'Проверочная  таблица'!VZ25+VV25+'Проверочная  таблица'!WD25+VX25+'Проверочная  таблица'!WF25</f>
        <v>-14800000</v>
      </c>
      <c r="VQ25" s="531"/>
      <c r="VR25" s="531"/>
      <c r="VS25" s="531"/>
      <c r="VT25" s="531"/>
      <c r="VU25" s="528">
        <f t="shared" si="127"/>
        <v>0</v>
      </c>
      <c r="VV25" s="526">
        <f t="shared" si="128"/>
        <v>0</v>
      </c>
      <c r="VW25" s="532"/>
      <c r="VX25" s="521"/>
      <c r="VY25" s="531">
        <v>-26450000</v>
      </c>
      <c r="VZ25" s="531">
        <v>-12450000</v>
      </c>
      <c r="WA25" s="531">
        <f>-170000-300000-600000-1000000-450000-150000-300000</f>
        <v>-2970000</v>
      </c>
      <c r="WB25" s="531">
        <f>-600000-1000000-450000-300000</f>
        <v>-2350000</v>
      </c>
      <c r="WC25" s="528">
        <f t="shared" si="129"/>
        <v>-2970000</v>
      </c>
      <c r="WD25" s="526">
        <f t="shared" si="130"/>
        <v>-2350000</v>
      </c>
      <c r="WE25" s="521"/>
      <c r="WF25" s="521"/>
      <c r="WG25" s="1356">
        <f>'Проверочная  таблица'!VY25+'Проверочная  таблица'!WA25</f>
        <v>-29420000</v>
      </c>
      <c r="WH25" s="1356">
        <f>'Проверочная  таблица'!VZ25+'Проверочная  таблица'!WB25</f>
        <v>-14800000</v>
      </c>
      <c r="WI25" s="1481"/>
    </row>
    <row r="26" spans="1:607" s="329" customFormat="1" ht="25.5" customHeight="1" x14ac:dyDescent="0.3">
      <c r="A26" s="339" t="s">
        <v>102</v>
      </c>
      <c r="B26" s="524">
        <f>D26+AI26+'Проверочная  таблица'!RS26+'Проверочная  таблица'!SW26</f>
        <v>480150606.78999996</v>
      </c>
      <c r="C26" s="517">
        <f>E26+'Проверочная  таблица'!RV26+AJ26+'Проверочная  таблица'!SX26</f>
        <v>392781577.80999994</v>
      </c>
      <c r="D26" s="522">
        <f t="shared" si="0"/>
        <v>66582929</v>
      </c>
      <c r="E26" s="524">
        <f t="shared" si="1"/>
        <v>58583132</v>
      </c>
      <c r="F26" s="1062">
        <f>'[1]Дотация  из  ОБ_факт'!I22+'[1]Дотация  из  ОБ_факт'!Q22</f>
        <v>27840300</v>
      </c>
      <c r="G26" s="1366">
        <v>25315100</v>
      </c>
      <c r="H26" s="563">
        <f>'[1]Дотация  из  ОБ_факт'!K22</f>
        <v>25796700</v>
      </c>
      <c r="I26" s="1366">
        <v>21345957</v>
      </c>
      <c r="J26" s="564">
        <f t="shared" si="2"/>
        <v>25796700</v>
      </c>
      <c r="K26" s="571">
        <f t="shared" si="3"/>
        <v>21345957</v>
      </c>
      <c r="L26" s="883">
        <f>'[1]Дотация  из  ОБ_факт'!O22</f>
        <v>0</v>
      </c>
      <c r="M26" s="745"/>
      <c r="N26" s="563">
        <f>'[1]Дотация  из  ОБ_факт'!U22</f>
        <v>389829</v>
      </c>
      <c r="O26" s="1366">
        <v>277450</v>
      </c>
      <c r="P26" s="784">
        <f>'[1]Дотация  из  ОБ_факт'!W22</f>
        <v>10556100</v>
      </c>
      <c r="Q26" s="1366">
        <v>9644625</v>
      </c>
      <c r="R26" s="571">
        <f t="shared" si="4"/>
        <v>10556100</v>
      </c>
      <c r="S26" s="564">
        <f t="shared" si="5"/>
        <v>9644625</v>
      </c>
      <c r="T26" s="1059">
        <f>'[1]Дотация  из  ОБ_факт'!AA22</f>
        <v>0</v>
      </c>
      <c r="U26" s="331"/>
      <c r="V26" s="784">
        <f>'[1]Дотация  из  ОБ_факт'!AE22+'[1]Дотация  из  ОБ_факт'!AG22+'[1]Дотация  из  ОБ_факт'!AK22</f>
        <v>500000</v>
      </c>
      <c r="W26" s="163">
        <f t="shared" si="6"/>
        <v>500000</v>
      </c>
      <c r="X26" s="567">
        <v>500000</v>
      </c>
      <c r="Y26" s="566"/>
      <c r="Z26" s="567"/>
      <c r="AA26" s="563">
        <f>'[1]Дотация  из  ОБ_факт'!AC22+'[1]Дотация  из  ОБ_факт'!AI22</f>
        <v>1500000</v>
      </c>
      <c r="AB26" s="165">
        <f t="shared" si="7"/>
        <v>1500000</v>
      </c>
      <c r="AC26" s="566">
        <v>1500000</v>
      </c>
      <c r="AD26" s="567"/>
      <c r="AE26" s="564">
        <f t="shared" si="8"/>
        <v>1500000</v>
      </c>
      <c r="AF26" s="571">
        <f t="shared" si="9"/>
        <v>1500000</v>
      </c>
      <c r="AG26" s="565">
        <f>'[1]Дотация  из  ОБ_факт'!AI22</f>
        <v>0</v>
      </c>
      <c r="AH26" s="1370">
        <f t="shared" si="131"/>
        <v>0</v>
      </c>
      <c r="AI26" s="559">
        <f>'Проверочная  таблица'!KI26+NU26+OA26+'Проверочная  таблица'!RK26+'Проверочная  таблица'!RM26+DE26+DG26+DM26+DO26+'Проверочная  таблица'!MY26+'Проверочная  таблица'!NC26+CG26+CQ26+'Проверочная  таблица'!HE26+'Проверочная  таблица'!HW26+'Проверочная  таблица'!ES26+'Проверочная  таблица'!JY26+DU26+'Проверочная  таблица'!GA26+'Проверочная  таблица'!GG26+'Проверочная  таблица'!LG26+'Проверочная  таблица'!LU26+FU26+'Проверочная  таблица'!KU26+RI26+OS26+PG26+EK26+AK26+AW26+FO26+FE26+GY26+EY26</f>
        <v>134534918.78999999</v>
      </c>
      <c r="AJ26" s="487">
        <f>'Проверочная  таблица'!KO26+NX26+OD26+'Проверочная  таблица'!RL26+'Проверочная  таблица'!RN26+DF26+DH26+DN26+DP26+'Проверочная  таблица'!NA26+'Проверочная  таблица'!NF26+CL26+CV26+'Проверочная  таблица'!HN26+'Проверочная  таблица'!IF26+'Проверочная  таблица'!EV26+'Проверочная  таблица'!KD26+EC26+'Проверочная  таблица'!GD26+'Проверочная  таблица'!GJ26+'Проверочная  таблица'!LN26+'Проверочная  таблица'!LZ26+FX26+'Проверочная  таблица'!KY26+FR26+RJ26+PP26+OZ26+EM26+AQ26+BC26+FJ26+HB26+FB26</f>
        <v>96032066.23999998</v>
      </c>
      <c r="AK26" s="487">
        <f t="shared" si="10"/>
        <v>0</v>
      </c>
      <c r="AL26" s="332">
        <f>[1]Субсидия_факт!CO24</f>
        <v>0</v>
      </c>
      <c r="AM26" s="523">
        <f>[1]Субсидия_факт!FK24</f>
        <v>0</v>
      </c>
      <c r="AN26" s="498">
        <f>[1]Субсидия_факт!FW24</f>
        <v>0</v>
      </c>
      <c r="AO26" s="523">
        <f>[1]Субсидия_факт!KA24</f>
        <v>0</v>
      </c>
      <c r="AP26" s="332">
        <f>[1]Субсидия_факт!LE24</f>
        <v>0</v>
      </c>
      <c r="AQ26" s="487">
        <f t="shared" si="11"/>
        <v>0</v>
      </c>
      <c r="AR26" s="462"/>
      <c r="AS26" s="462"/>
      <c r="AT26" s="462"/>
      <c r="AU26" s="462"/>
      <c r="AV26" s="462"/>
      <c r="AW26" s="487">
        <f t="shared" si="132"/>
        <v>0</v>
      </c>
      <c r="AX26" s="452">
        <f>[1]Субсидия_факт!CQ24</f>
        <v>0</v>
      </c>
      <c r="AY26" s="332">
        <f>[1]Субсидия_факт!FO24</f>
        <v>0</v>
      </c>
      <c r="AZ26" s="476">
        <f>[1]Субсидия_факт!JK24</f>
        <v>0</v>
      </c>
      <c r="BA26" s="496">
        <f>[1]Субсидия_факт!KC24</f>
        <v>0</v>
      </c>
      <c r="BB26" s="498">
        <f>[1]Субсидия_факт!LG24</f>
        <v>0</v>
      </c>
      <c r="BC26" s="487">
        <f t="shared" si="133"/>
        <v>0</v>
      </c>
      <c r="BD26" s="529"/>
      <c r="BE26" s="529"/>
      <c r="BF26" s="333"/>
      <c r="BG26" s="530"/>
      <c r="BH26" s="529"/>
      <c r="BI26" s="657">
        <f t="shared" si="134"/>
        <v>0</v>
      </c>
      <c r="BJ26" s="1025">
        <f t="shared" si="12"/>
        <v>0</v>
      </c>
      <c r="BK26" s="452">
        <f t="shared" si="13"/>
        <v>0</v>
      </c>
      <c r="BL26" s="452">
        <f t="shared" si="14"/>
        <v>0</v>
      </c>
      <c r="BM26" s="332">
        <f t="shared" si="15"/>
        <v>0</v>
      </c>
      <c r="BN26" s="488">
        <f t="shared" si="16"/>
        <v>0</v>
      </c>
      <c r="BO26" s="657">
        <f t="shared" si="135"/>
        <v>0</v>
      </c>
      <c r="BP26" s="607">
        <f t="shared" si="17"/>
        <v>0</v>
      </c>
      <c r="BQ26" s="496">
        <f t="shared" si="18"/>
        <v>0</v>
      </c>
      <c r="BR26" s="332">
        <f t="shared" si="19"/>
        <v>0</v>
      </c>
      <c r="BS26" s="430">
        <f t="shared" si="20"/>
        <v>0</v>
      </c>
      <c r="BT26" s="332">
        <f t="shared" si="21"/>
        <v>0</v>
      </c>
      <c r="BU26" s="657">
        <f t="shared" si="136"/>
        <v>0</v>
      </c>
      <c r="BV26" s="452">
        <f>[1]Субсидия_факт!CS24</f>
        <v>0</v>
      </c>
      <c r="BW26" s="332">
        <f>[1]Субсидия_факт!FQ24</f>
        <v>0</v>
      </c>
      <c r="BX26" s="476">
        <f>[1]Субсидия_факт!JM24</f>
        <v>0</v>
      </c>
      <c r="BY26" s="430">
        <f>[1]Субсидия_факт!KE24</f>
        <v>0</v>
      </c>
      <c r="BZ26" s="332">
        <f>[1]Субсидия_факт!LI24</f>
        <v>0</v>
      </c>
      <c r="CA26" s="659">
        <f t="shared" si="137"/>
        <v>0</v>
      </c>
      <c r="CB26" s="782"/>
      <c r="CC26" s="529"/>
      <c r="CD26" s="462"/>
      <c r="CE26" s="529"/>
      <c r="CF26" s="529"/>
      <c r="CG26" s="517">
        <f t="shared" si="22"/>
        <v>23341729</v>
      </c>
      <c r="CH26" s="430">
        <f>[1]Субсидия_факт!LM24</f>
        <v>0</v>
      </c>
      <c r="CI26" s="452">
        <f>[1]Субсидия_факт!LS24</f>
        <v>23341729</v>
      </c>
      <c r="CJ26" s="332">
        <f>[1]Субсидия_факт!ME24</f>
        <v>0</v>
      </c>
      <c r="CK26" s="511">
        <f>[1]Субсидия_факт!MK24</f>
        <v>0</v>
      </c>
      <c r="CL26" s="517">
        <f t="shared" si="23"/>
        <v>6818117.9699999997</v>
      </c>
      <c r="CM26" s="529"/>
      <c r="CN26" s="529">
        <v>6818117.9699999997</v>
      </c>
      <c r="CO26" s="529"/>
      <c r="CP26" s="610"/>
      <c r="CQ26" s="517">
        <f t="shared" si="24"/>
        <v>0</v>
      </c>
      <c r="CR26" s="452">
        <f>[1]Субсидия_факт!LO24</f>
        <v>0</v>
      </c>
      <c r="CS26" s="452">
        <f>[1]Субсидия_факт!LU24</f>
        <v>0</v>
      </c>
      <c r="CT26" s="332">
        <f>[1]Субсидия_факт!MG24</f>
        <v>0</v>
      </c>
      <c r="CU26" s="511">
        <f>[1]Субсидия_факт!MM24</f>
        <v>0</v>
      </c>
      <c r="CV26" s="517">
        <f t="shared" si="25"/>
        <v>0</v>
      </c>
      <c r="CW26" s="529"/>
      <c r="CX26" s="530"/>
      <c r="CY26" s="782"/>
      <c r="CZ26" s="719"/>
      <c r="DA26" s="528">
        <f t="shared" si="138"/>
        <v>0</v>
      </c>
      <c r="DB26" s="526">
        <f t="shared" si="139"/>
        <v>0</v>
      </c>
      <c r="DC26" s="525">
        <f t="shared" si="140"/>
        <v>0</v>
      </c>
      <c r="DD26" s="528">
        <f t="shared" si="141"/>
        <v>0</v>
      </c>
      <c r="DE26" s="524">
        <f>[1]Субсидия_факт!GC24</f>
        <v>0</v>
      </c>
      <c r="DF26" s="330"/>
      <c r="DG26" s="522">
        <f>[1]Субсидия_факт!GE24</f>
        <v>0</v>
      </c>
      <c r="DH26" s="330"/>
      <c r="DI26" s="757">
        <f t="shared" si="142"/>
        <v>0</v>
      </c>
      <c r="DJ26" s="570">
        <f t="shared" si="143"/>
        <v>0</v>
      </c>
      <c r="DK26" s="757">
        <f>[1]Субсидия_факт!GG24</f>
        <v>0</v>
      </c>
      <c r="DL26" s="1387">
        <f t="shared" si="144"/>
        <v>0</v>
      </c>
      <c r="DM26" s="516">
        <f>[1]Субсидия_факт!GI24</f>
        <v>0</v>
      </c>
      <c r="DN26" s="604"/>
      <c r="DO26" s="517">
        <f>[1]Субсидия_факт!GK24</f>
        <v>0</v>
      </c>
      <c r="DP26" s="604"/>
      <c r="DQ26" s="526">
        <f t="shared" si="28"/>
        <v>0</v>
      </c>
      <c r="DR26" s="526">
        <f t="shared" si="29"/>
        <v>0</v>
      </c>
      <c r="DS26" s="653">
        <f t="shared" si="30"/>
        <v>0</v>
      </c>
      <c r="DT26" s="1385">
        <f t="shared" si="145"/>
        <v>0</v>
      </c>
      <c r="DU26" s="517">
        <f t="shared" si="31"/>
        <v>2687425</v>
      </c>
      <c r="DV26" s="523">
        <f>[1]Субсидия_факт!E24</f>
        <v>1000000</v>
      </c>
      <c r="DW26" s="1025">
        <f>[1]Субсидия_факт!G24</f>
        <v>0</v>
      </c>
      <c r="DX26" s="678">
        <f>[1]Субсидия_факт!I24</f>
        <v>0</v>
      </c>
      <c r="DY26" s="636">
        <f>[1]Субсидия_факт!K24</f>
        <v>0</v>
      </c>
      <c r="DZ26" s="786">
        <f>[1]Субсидия_факт!M24</f>
        <v>0</v>
      </c>
      <c r="EA26" s="498">
        <f>[1]Субсидия_факт!O24</f>
        <v>1434300</v>
      </c>
      <c r="EB26" s="636">
        <f>[1]Субсидия_факт!Q24</f>
        <v>253125</v>
      </c>
      <c r="EC26" s="516">
        <f t="shared" si="32"/>
        <v>406125</v>
      </c>
      <c r="ED26" s="530">
        <v>76500</v>
      </c>
      <c r="EE26" s="529"/>
      <c r="EF26" s="682"/>
      <c r="EG26" s="529"/>
      <c r="EH26" s="682"/>
      <c r="EI26" s="530">
        <v>76500</v>
      </c>
      <c r="EJ26" s="607">
        <f t="shared" si="146"/>
        <v>253125</v>
      </c>
      <c r="EK26" s="516">
        <f t="shared" si="147"/>
        <v>0</v>
      </c>
      <c r="EL26" s="1223">
        <f>[1]Субсидия_факт!S24</f>
        <v>0</v>
      </c>
      <c r="EM26" s="524">
        <f t="shared" si="147"/>
        <v>0</v>
      </c>
      <c r="EN26" s="607">
        <f t="shared" si="148"/>
        <v>0</v>
      </c>
      <c r="EO26" s="570">
        <f t="shared" si="149"/>
        <v>0</v>
      </c>
      <c r="EP26" s="633">
        <f t="shared" si="150"/>
        <v>0</v>
      </c>
      <c r="EQ26" s="633">
        <f>[1]Субсидия_факт!U24</f>
        <v>0</v>
      </c>
      <c r="ER26" s="1245">
        <f t="shared" si="151"/>
        <v>0</v>
      </c>
      <c r="ES26" s="487">
        <f t="shared" si="33"/>
        <v>0</v>
      </c>
      <c r="ET26" s="511">
        <f>[1]Субсидия_факт!AU24</f>
        <v>0</v>
      </c>
      <c r="EU26" s="890">
        <f>[1]Субсидия_факт!AW24</f>
        <v>0</v>
      </c>
      <c r="EV26" s="454">
        <f t="shared" si="34"/>
        <v>0</v>
      </c>
      <c r="EW26" s="777"/>
      <c r="EX26" s="1095"/>
      <c r="EY26" s="487">
        <f t="shared" si="35"/>
        <v>0</v>
      </c>
      <c r="EZ26" s="511">
        <f>[1]Субсидия_факт!FY24</f>
        <v>0</v>
      </c>
      <c r="FA26" s="890">
        <f>[1]Субсидия_факт!GA24</f>
        <v>0</v>
      </c>
      <c r="FB26" s="454">
        <f t="shared" si="36"/>
        <v>0</v>
      </c>
      <c r="FC26" s="777"/>
      <c r="FD26" s="1095"/>
      <c r="FE26" s="517">
        <f t="shared" si="152"/>
        <v>2864400</v>
      </c>
      <c r="FF26" s="430">
        <f>[1]Субсидия_факт!W24</f>
        <v>143220</v>
      </c>
      <c r="FG26" s="931">
        <f>[1]Субсидия_факт!Y24</f>
        <v>2721180</v>
      </c>
      <c r="FH26" s="452">
        <f>[1]Субсидия_факт!AA24</f>
        <v>0</v>
      </c>
      <c r="FI26" s="686">
        <f>[1]Субсидия_факт!AC24</f>
        <v>0</v>
      </c>
      <c r="FJ26" s="516">
        <f t="shared" si="153"/>
        <v>0</v>
      </c>
      <c r="FK26" s="462"/>
      <c r="FL26" s="682"/>
      <c r="FM26" s="462"/>
      <c r="FN26" s="682"/>
      <c r="FO26" s="487">
        <f t="shared" si="37"/>
        <v>0</v>
      </c>
      <c r="FP26" s="511">
        <f>[1]Субсидия_факт!AY24</f>
        <v>0</v>
      </c>
      <c r="FQ26" s="890">
        <f>[1]Субсидия_факт!BA24</f>
        <v>0</v>
      </c>
      <c r="FR26" s="454">
        <f t="shared" si="38"/>
        <v>0</v>
      </c>
      <c r="FS26" s="777"/>
      <c r="FT26" s="673"/>
      <c r="FU26" s="524">
        <f t="shared" si="154"/>
        <v>0</v>
      </c>
      <c r="FV26" s="498">
        <f>[1]Субсидия_факт!EE24</f>
        <v>0</v>
      </c>
      <c r="FW26" s="686">
        <f>[1]Субсидия_факт!EG24</f>
        <v>0</v>
      </c>
      <c r="FX26" s="517">
        <f t="shared" si="155"/>
        <v>0</v>
      </c>
      <c r="FY26" s="529"/>
      <c r="FZ26" s="704"/>
      <c r="GA26" s="559">
        <f t="shared" si="41"/>
        <v>1047233</v>
      </c>
      <c r="GB26" s="511">
        <f>[1]Субсидия_факт!DS24</f>
        <v>293226.68</v>
      </c>
      <c r="GC26" s="890">
        <f>[1]Субсидия_факт!DY24</f>
        <v>754006.32</v>
      </c>
      <c r="GD26" s="454">
        <f t="shared" si="42"/>
        <v>713333</v>
      </c>
      <c r="GE26" s="719">
        <v>199734.22</v>
      </c>
      <c r="GF26" s="673">
        <f>1014333-GE26-GJ26</f>
        <v>513598.78</v>
      </c>
      <c r="GG26" s="454">
        <f t="shared" si="43"/>
        <v>301000</v>
      </c>
      <c r="GH26" s="511">
        <f>[1]Субсидия_факт!DU24</f>
        <v>84280.41</v>
      </c>
      <c r="GI26" s="751">
        <f>[1]Субсидия_факт!EA24</f>
        <v>216719.59</v>
      </c>
      <c r="GJ26" s="454">
        <f t="shared" si="44"/>
        <v>301000</v>
      </c>
      <c r="GK26" s="756">
        <f t="shared" si="201"/>
        <v>84280.41</v>
      </c>
      <c r="GL26" s="810">
        <f t="shared" si="201"/>
        <v>216719.59</v>
      </c>
      <c r="GM26" s="659">
        <f t="shared" si="45"/>
        <v>301000</v>
      </c>
      <c r="GN26" s="749">
        <f>'Проверочная  таблица'!GH26-'Проверочная  таблица'!GT26</f>
        <v>84280.41</v>
      </c>
      <c r="GO26" s="671">
        <f>'Проверочная  таблица'!GI26-'Проверочная  таблица'!GU26</f>
        <v>216719.59</v>
      </c>
      <c r="GP26" s="653">
        <f t="shared" si="46"/>
        <v>301000</v>
      </c>
      <c r="GQ26" s="756">
        <f>'Проверочная  таблица'!GK26-'Проверочная  таблица'!GW26</f>
        <v>84280.41</v>
      </c>
      <c r="GR26" s="768">
        <f>'Проверочная  таблица'!GL26-'Проверочная  таблица'!GX26</f>
        <v>216719.59</v>
      </c>
      <c r="GS26" s="659">
        <f t="shared" si="47"/>
        <v>0</v>
      </c>
      <c r="GT26" s="511">
        <f>[1]Субсидия_факт!DW24</f>
        <v>0</v>
      </c>
      <c r="GU26" s="890">
        <f>[1]Субсидия_факт!EC24</f>
        <v>0</v>
      </c>
      <c r="GV26" s="659">
        <f t="shared" si="48"/>
        <v>0</v>
      </c>
      <c r="GW26" s="511"/>
      <c r="GX26" s="751"/>
      <c r="GY26" s="454">
        <f t="shared" si="49"/>
        <v>0</v>
      </c>
      <c r="GZ26" s="756">
        <f>[1]Субсидия_факт!AE24</f>
        <v>0</v>
      </c>
      <c r="HA26" s="671">
        <f>[1]Субсидия_факт!AG24</f>
        <v>0</v>
      </c>
      <c r="HB26" s="454">
        <f t="shared" si="50"/>
        <v>0</v>
      </c>
      <c r="HC26" s="756"/>
      <c r="HD26" s="671"/>
      <c r="HE26" s="747">
        <f t="shared" si="51"/>
        <v>121105.06999999999</v>
      </c>
      <c r="HF26" s="756">
        <f>[1]Субсидия_факт!BW24</f>
        <v>0</v>
      </c>
      <c r="HG26" s="671">
        <f>[1]Субсидия_факт!CC24</f>
        <v>0</v>
      </c>
      <c r="HH26" s="511">
        <f>[1]Субсидия_факт!CU24</f>
        <v>108695.65</v>
      </c>
      <c r="HI26" s="890">
        <f>[1]Субсидия_факт!DA24</f>
        <v>12409.42</v>
      </c>
      <c r="HJ26" s="511">
        <f>[1]Субсидия_факт!DG24</f>
        <v>0</v>
      </c>
      <c r="HK26" s="890">
        <f>[1]Субсидия_факт!DM24</f>
        <v>0</v>
      </c>
      <c r="HL26" s="511">
        <f>[1]Субсидия_факт!EI24</f>
        <v>0</v>
      </c>
      <c r="HM26" s="751">
        <f>[1]Субсидия_факт!EO24</f>
        <v>0</v>
      </c>
      <c r="HN26" s="747">
        <f t="shared" si="52"/>
        <v>121105.06999999999</v>
      </c>
      <c r="HO26" s="610"/>
      <c r="HP26" s="673"/>
      <c r="HQ26" s="756">
        <f t="shared" ref="HQ26" si="204">HH26</f>
        <v>108695.65</v>
      </c>
      <c r="HR26" s="768">
        <f t="shared" ref="HR26" si="205">HI26</f>
        <v>12409.42</v>
      </c>
      <c r="HS26" s="756">
        <f t="shared" si="157"/>
        <v>0</v>
      </c>
      <c r="HT26" s="1480">
        <f t="shared" si="158"/>
        <v>0</v>
      </c>
      <c r="HU26" s="610"/>
      <c r="HV26" s="673"/>
      <c r="HW26" s="747">
        <f t="shared" si="53"/>
        <v>0</v>
      </c>
      <c r="HX26" s="756">
        <f>[1]Субсидия_факт!BY24</f>
        <v>0</v>
      </c>
      <c r="HY26" s="671">
        <f>[1]Субсидия_факт!CE24</f>
        <v>0</v>
      </c>
      <c r="HZ26" s="511">
        <f>[1]Субсидия_факт!CW24</f>
        <v>0</v>
      </c>
      <c r="IA26" s="751">
        <f>[1]Субсидия_факт!DC24</f>
        <v>0</v>
      </c>
      <c r="IB26" s="511">
        <f>[1]Субсидия_факт!DI24</f>
        <v>0</v>
      </c>
      <c r="IC26" s="890">
        <f>[1]Субсидия_факт!DO24</f>
        <v>0</v>
      </c>
      <c r="ID26" s="511">
        <f>[1]Субсидия_факт!EK24</f>
        <v>0</v>
      </c>
      <c r="IE26" s="751">
        <f>[1]Субсидия_факт!EQ24</f>
        <v>0</v>
      </c>
      <c r="IF26" s="747">
        <f t="shared" si="54"/>
        <v>0</v>
      </c>
      <c r="IG26" s="610"/>
      <c r="IH26" s="673"/>
      <c r="II26" s="749">
        <f t="shared" si="159"/>
        <v>0</v>
      </c>
      <c r="IJ26" s="671">
        <f t="shared" si="160"/>
        <v>0</v>
      </c>
      <c r="IK26" s="777"/>
      <c r="IL26" s="673"/>
      <c r="IM26" s="610"/>
      <c r="IN26" s="673"/>
      <c r="IO26" s="750">
        <f t="shared" si="55"/>
        <v>0</v>
      </c>
      <c r="IP26" s="756">
        <f>'Проверочная  таблица'!HX26-JH26</f>
        <v>0</v>
      </c>
      <c r="IQ26" s="671">
        <f>'Проверочная  таблица'!HY26-JI26</f>
        <v>0</v>
      </c>
      <c r="IR26" s="756">
        <f>'Проверочная  таблица'!HZ26-JJ26</f>
        <v>0</v>
      </c>
      <c r="IS26" s="671">
        <f>'Проверочная  таблица'!IA26-JK26</f>
        <v>0</v>
      </c>
      <c r="IT26" s="749">
        <f>'Проверочная  таблица'!IB26-JL26</f>
        <v>0</v>
      </c>
      <c r="IU26" s="671">
        <f>'Проверочная  таблица'!IC26-JM26</f>
        <v>0</v>
      </c>
      <c r="IV26" s="756">
        <f>'Проверочная  таблица'!ID26-JN26</f>
        <v>0</v>
      </c>
      <c r="IW26" s="671">
        <f>'Проверочная  таблица'!IE26-JO26</f>
        <v>0</v>
      </c>
      <c r="IX26" s="750">
        <f t="shared" si="56"/>
        <v>0</v>
      </c>
      <c r="IY26" s="756">
        <f>'Проверочная  таблица'!IG26-JQ26</f>
        <v>0</v>
      </c>
      <c r="IZ26" s="810">
        <f>'Проверочная  таблица'!IH26-JR26</f>
        <v>0</v>
      </c>
      <c r="JA26" s="756">
        <f>'Проверочная  таблица'!II26-JS26</f>
        <v>0</v>
      </c>
      <c r="JB26" s="768">
        <f>'Проверочная  таблица'!IJ26-JT26</f>
        <v>0</v>
      </c>
      <c r="JC26" s="756">
        <f>'Проверочная  таблица'!IK26-JU26</f>
        <v>0</v>
      </c>
      <c r="JD26" s="768">
        <f>'Проверочная  таблица'!IL26-JV26</f>
        <v>0</v>
      </c>
      <c r="JE26" s="756">
        <f>'Проверочная  таблица'!IM26-JW26</f>
        <v>0</v>
      </c>
      <c r="JF26" s="768">
        <f>'Проверочная  таблица'!IN26-JX26</f>
        <v>0</v>
      </c>
      <c r="JG26" s="659">
        <f t="shared" si="57"/>
        <v>0</v>
      </c>
      <c r="JH26" s="756">
        <f>[1]Субсидия_факт!CA24</f>
        <v>0</v>
      </c>
      <c r="JI26" s="671">
        <f>[1]Субсидия_факт!CG24</f>
        <v>0</v>
      </c>
      <c r="JJ26" s="511">
        <f>[1]Субсидия_факт!CY24</f>
        <v>0</v>
      </c>
      <c r="JK26" s="751">
        <f>[1]Субсидия_факт!DE24</f>
        <v>0</v>
      </c>
      <c r="JL26" s="511">
        <f>[1]Субсидия_факт!DK24</f>
        <v>0</v>
      </c>
      <c r="JM26" s="890">
        <f>[1]Субсидия_факт!DQ24</f>
        <v>0</v>
      </c>
      <c r="JN26" s="511">
        <f>[1]Субсидия_факт!EM24</f>
        <v>0</v>
      </c>
      <c r="JO26" s="751">
        <f>[1]Субсидия_факт!ES24</f>
        <v>0</v>
      </c>
      <c r="JP26" s="750">
        <f t="shared" si="58"/>
        <v>0</v>
      </c>
      <c r="JQ26" s="610"/>
      <c r="JR26" s="673"/>
      <c r="JS26" s="513"/>
      <c r="JT26" s="788"/>
      <c r="JU26" s="513"/>
      <c r="JV26" s="885"/>
      <c r="JW26" s="610"/>
      <c r="JX26" s="673"/>
      <c r="JY26" s="454">
        <f t="shared" si="161"/>
        <v>0</v>
      </c>
      <c r="JZ26" s="511">
        <f>[1]Субсидия_факт!BC24</f>
        <v>0</v>
      </c>
      <c r="KA26" s="890">
        <f>[1]Субсидия_факт!BE24</f>
        <v>0</v>
      </c>
      <c r="KB26" s="511">
        <f>[1]Субсидия_факт!BG24</f>
        <v>0</v>
      </c>
      <c r="KC26" s="890">
        <f>[1]Субсидия_факт!BI24</f>
        <v>0</v>
      </c>
      <c r="KD26" s="454">
        <f t="shared" si="162"/>
        <v>0</v>
      </c>
      <c r="KE26" s="610"/>
      <c r="KF26" s="673"/>
      <c r="KG26" s="610"/>
      <c r="KH26" s="673"/>
      <c r="KI26" s="524">
        <f t="shared" si="59"/>
        <v>199637.52</v>
      </c>
      <c r="KJ26" s="511">
        <f>[1]Субсидия_факт!HO24</f>
        <v>199637.52</v>
      </c>
      <c r="KK26" s="523">
        <f>[1]Субсидия_факт!HQ24</f>
        <v>0</v>
      </c>
      <c r="KL26" s="686">
        <f>[1]Субсидия_факт!HS24</f>
        <v>0</v>
      </c>
      <c r="KM26" s="636">
        <f>[1]Субсидия_факт!IC24</f>
        <v>0</v>
      </c>
      <c r="KN26" s="686">
        <f>[1]Субсидия_факт!IE24</f>
        <v>0</v>
      </c>
      <c r="KO26" s="487">
        <f t="shared" si="163"/>
        <v>199637.52</v>
      </c>
      <c r="KP26" s="756">
        <f t="shared" si="164"/>
        <v>199637.52</v>
      </c>
      <c r="KQ26" s="333"/>
      <c r="KR26" s="682"/>
      <c r="KS26" s="462"/>
      <c r="KT26" s="682"/>
      <c r="KU26" s="454">
        <f t="shared" si="60"/>
        <v>0</v>
      </c>
      <c r="KV26" s="513">
        <f>[1]Субсидия_факт!HY24</f>
        <v>0</v>
      </c>
      <c r="KW26" s="513">
        <f>[1]Субсидия_факт!HU24</f>
        <v>0</v>
      </c>
      <c r="KX26" s="751">
        <f>[1]Субсидия_факт!HW24</f>
        <v>0</v>
      </c>
      <c r="KY26" s="454">
        <f t="shared" si="61"/>
        <v>0</v>
      </c>
      <c r="KZ26" s="756">
        <f t="shared" si="165"/>
        <v>0</v>
      </c>
      <c r="LA26" s="610"/>
      <c r="LB26" s="673"/>
      <c r="LC26" s="886">
        <f t="shared" si="62"/>
        <v>0</v>
      </c>
      <c r="LD26" s="886">
        <f t="shared" si="63"/>
        <v>0</v>
      </c>
      <c r="LE26" s="657">
        <f t="shared" si="64"/>
        <v>0</v>
      </c>
      <c r="LF26" s="1038">
        <f t="shared" si="65"/>
        <v>0</v>
      </c>
      <c r="LG26" s="753">
        <f t="shared" si="166"/>
        <v>0</v>
      </c>
      <c r="LH26" s="511">
        <f>[1]Субсидия_факт!OG24</f>
        <v>0</v>
      </c>
      <c r="LI26" s="890">
        <f>[1]Субсидия_факт!OM24</f>
        <v>0</v>
      </c>
      <c r="LJ26" s="511">
        <f>[1]Субсидия_факт!OS24</f>
        <v>0</v>
      </c>
      <c r="LK26" s="890">
        <f>[1]Субсидия_факт!OY24</f>
        <v>0</v>
      </c>
      <c r="LL26" s="756">
        <f>[1]Субсидия_факт!PE24</f>
        <v>0</v>
      </c>
      <c r="LM26" s="768">
        <f>[1]Субсидия_факт!PI24</f>
        <v>0</v>
      </c>
      <c r="LN26" s="753">
        <f t="shared" si="66"/>
        <v>0</v>
      </c>
      <c r="LO26" s="777"/>
      <c r="LP26" s="673"/>
      <c r="LQ26" s="610"/>
      <c r="LR26" s="776"/>
      <c r="LS26" s="610"/>
      <c r="LT26" s="776"/>
      <c r="LU26" s="753">
        <f t="shared" si="67"/>
        <v>0</v>
      </c>
      <c r="LV26" s="511">
        <f>[1]Субсидия_факт!OI24</f>
        <v>0</v>
      </c>
      <c r="LW26" s="890">
        <f>[1]Субсидия_факт!OO24</f>
        <v>0</v>
      </c>
      <c r="LX26" s="513">
        <f>[1]Субсидия_факт!OU24</f>
        <v>0</v>
      </c>
      <c r="LY26" s="751">
        <f>[1]Субсидия_факт!PA24</f>
        <v>0</v>
      </c>
      <c r="LZ26" s="754">
        <f t="shared" si="68"/>
        <v>0</v>
      </c>
      <c r="MA26" s="610"/>
      <c r="MB26" s="776"/>
      <c r="MC26" s="610"/>
      <c r="MD26" s="673"/>
      <c r="ME26" s="652">
        <f t="shared" si="69"/>
        <v>0</v>
      </c>
      <c r="MF26" s="642">
        <f>'Проверочная  таблица'!LV26-MP26</f>
        <v>0</v>
      </c>
      <c r="MG26" s="678">
        <f>'Проверочная  таблица'!LW26-MQ26</f>
        <v>0</v>
      </c>
      <c r="MH26" s="765">
        <f>'Проверочная  таблица'!LY26-MR26</f>
        <v>0</v>
      </c>
      <c r="MI26" s="607">
        <f>'Проверочная  таблица'!LX26-MS26</f>
        <v>0</v>
      </c>
      <c r="MJ26" s="755">
        <f t="shared" si="70"/>
        <v>0</v>
      </c>
      <c r="MK26" s="749">
        <f>'Проверочная  таблица'!MA26-MU26</f>
        <v>0</v>
      </c>
      <c r="ML26" s="671">
        <f>'Проверочная  таблица'!MB26-MV26</f>
        <v>0</v>
      </c>
      <c r="MM26" s="768">
        <f>'Проверочная  таблица'!MD26-MW26</f>
        <v>0</v>
      </c>
      <c r="MN26" s="756">
        <f>'Проверочная  таблица'!MC26-MX26</f>
        <v>0</v>
      </c>
      <c r="MO26" s="779">
        <f t="shared" si="71"/>
        <v>0</v>
      </c>
      <c r="MP26" s="511">
        <f>[1]Субсидия_факт!OK24</f>
        <v>0</v>
      </c>
      <c r="MQ26" s="890">
        <f>[1]Субсидия_факт!OQ24</f>
        <v>0</v>
      </c>
      <c r="MR26" s="890">
        <f>[1]Субсидия_факт!PC24</f>
        <v>0</v>
      </c>
      <c r="MS26" s="511">
        <f>[1]Субсидия_факт!OW24</f>
        <v>0</v>
      </c>
      <c r="MT26" s="755">
        <f t="shared" si="72"/>
        <v>0</v>
      </c>
      <c r="MU26" s="749">
        <f t="shared" si="167"/>
        <v>0</v>
      </c>
      <c r="MV26" s="671">
        <f t="shared" si="168"/>
        <v>0</v>
      </c>
      <c r="MW26" s="768">
        <f t="shared" si="169"/>
        <v>0</v>
      </c>
      <c r="MX26" s="756">
        <f t="shared" si="73"/>
        <v>0</v>
      </c>
      <c r="MY26" s="524">
        <f>SUM('Проверочная  таблица'!MZ26:MZ26)</f>
        <v>0</v>
      </c>
      <c r="MZ26" s="333"/>
      <c r="NA26" s="524">
        <f>SUM('Проверочная  таблица'!NB26:NB26)</f>
        <v>0</v>
      </c>
      <c r="NB26" s="462"/>
      <c r="NC26" s="524">
        <f t="shared" si="74"/>
        <v>0</v>
      </c>
      <c r="ND26" s="452">
        <f>[1]Субсидия_факт!IU24</f>
        <v>0</v>
      </c>
      <c r="NE26" s="686">
        <f>[1]Субсидия_факт!IY24</f>
        <v>0</v>
      </c>
      <c r="NF26" s="517">
        <f t="shared" si="75"/>
        <v>0</v>
      </c>
      <c r="NG26" s="529"/>
      <c r="NH26" s="774"/>
      <c r="NI26" s="570">
        <f t="shared" si="76"/>
        <v>0</v>
      </c>
      <c r="NJ26" s="1000">
        <f>'Проверочная  таблица'!ND26-NP26</f>
        <v>0</v>
      </c>
      <c r="NK26" s="678">
        <f>'Проверочная  таблица'!NE26-NQ26</f>
        <v>0</v>
      </c>
      <c r="NL26" s="570">
        <f t="shared" si="77"/>
        <v>0</v>
      </c>
      <c r="NM26" s="476">
        <f>'Проверочная  таблица'!NG26-NS26</f>
        <v>0</v>
      </c>
      <c r="NN26" s="678">
        <f>'Проверочная  таблица'!NH26-NT26</f>
        <v>0</v>
      </c>
      <c r="NO26" s="633">
        <f t="shared" si="78"/>
        <v>0</v>
      </c>
      <c r="NP26" s="452">
        <f>[1]Субсидия_факт!IW24</f>
        <v>0</v>
      </c>
      <c r="NQ26" s="686">
        <f>[1]Субсидия_факт!JA24</f>
        <v>0</v>
      </c>
      <c r="NR26" s="570">
        <f t="shared" si="79"/>
        <v>0</v>
      </c>
      <c r="NS26" s="476"/>
      <c r="NT26" s="710"/>
      <c r="NU26" s="517">
        <f t="shared" si="170"/>
        <v>0</v>
      </c>
      <c r="NV26" s="332">
        <f>[1]Субсидия_факт!FA24</f>
        <v>0</v>
      </c>
      <c r="NW26" s="786">
        <f>[1]Субсидия_факт!FC24</f>
        <v>0</v>
      </c>
      <c r="NX26" s="517">
        <f t="shared" si="171"/>
        <v>0</v>
      </c>
      <c r="NY26" s="462"/>
      <c r="NZ26" s="682"/>
      <c r="OA26" s="517">
        <f t="shared" si="172"/>
        <v>0</v>
      </c>
      <c r="OD26" s="517">
        <f t="shared" si="173"/>
        <v>0</v>
      </c>
      <c r="OG26" s="526">
        <f t="shared" si="174"/>
        <v>0</v>
      </c>
      <c r="OJ26" s="526">
        <f t="shared" si="175"/>
        <v>0</v>
      </c>
      <c r="OM26" s="526">
        <f t="shared" si="176"/>
        <v>0</v>
      </c>
      <c r="OP26" s="526">
        <f t="shared" si="177"/>
        <v>0</v>
      </c>
      <c r="OS26" s="524">
        <f t="shared" si="80"/>
        <v>9996715.4600000009</v>
      </c>
      <c r="OT26" s="498">
        <f>[1]Субсидия_факт!JO24</f>
        <v>0</v>
      </c>
      <c r="OU26" s="786">
        <f>[1]Субсидия_факт!JQ24</f>
        <v>0</v>
      </c>
      <c r="OV26" s="332">
        <f>[1]Субсидия_факт!KS24</f>
        <v>0</v>
      </c>
      <c r="OW26" s="686">
        <f>[1]Субсидия_факт!KY24</f>
        <v>0</v>
      </c>
      <c r="OX26" s="498">
        <f>[1]Субсидия_факт!KG24</f>
        <v>3447625.58</v>
      </c>
      <c r="OY26" s="786">
        <f>[1]Субсидия_факт!KM24</f>
        <v>6549089.8799999999</v>
      </c>
      <c r="OZ26" s="517">
        <f t="shared" si="81"/>
        <v>9996715.4600000009</v>
      </c>
      <c r="PA26" s="462"/>
      <c r="PB26" s="682"/>
      <c r="PC26" s="333"/>
      <c r="PD26" s="704"/>
      <c r="PE26" s="462">
        <v>3447625.58</v>
      </c>
      <c r="PF26" s="794">
        <f>9996715.46-PE26</f>
        <v>6549089.8800000008</v>
      </c>
      <c r="PG26" s="524">
        <f t="shared" si="82"/>
        <v>0</v>
      </c>
      <c r="PH26" s="498">
        <f>[1]Субсидия_факт!JC24</f>
        <v>0</v>
      </c>
      <c r="PI26" s="931">
        <f>[1]Субсидия_факт!JG24</f>
        <v>0</v>
      </c>
      <c r="PJ26" s="476">
        <f>[1]Субсидия_факт!JS24</f>
        <v>0</v>
      </c>
      <c r="PK26" s="678">
        <f>[1]Субсидия_факт!JW24</f>
        <v>0</v>
      </c>
      <c r="PL26" s="498">
        <f>[1]Субсидия_факт!KU24</f>
        <v>0</v>
      </c>
      <c r="PM26" s="791">
        <f>[1]Субсидия_факт!LA24</f>
        <v>0</v>
      </c>
      <c r="PN26" s="498">
        <f>[1]Субсидия_факт!KI24</f>
        <v>0</v>
      </c>
      <c r="PO26" s="686">
        <f>[1]Субсидия_факт!KO24</f>
        <v>0</v>
      </c>
      <c r="PP26" s="517">
        <f t="shared" si="83"/>
        <v>0</v>
      </c>
      <c r="PQ26" s="529"/>
      <c r="PR26" s="771"/>
      <c r="PS26" s="462"/>
      <c r="PT26" s="682"/>
      <c r="PU26" s="529"/>
      <c r="PV26" s="774"/>
      <c r="PW26" s="529"/>
      <c r="PX26" s="682"/>
      <c r="PY26" s="570">
        <f t="shared" si="84"/>
        <v>0</v>
      </c>
      <c r="PZ26" s="452">
        <f t="shared" si="85"/>
        <v>0</v>
      </c>
      <c r="QA26" s="686">
        <f t="shared" si="86"/>
        <v>0</v>
      </c>
      <c r="QB26" s="430">
        <f t="shared" si="87"/>
        <v>0</v>
      </c>
      <c r="QC26" s="686">
        <f t="shared" si="88"/>
        <v>0</v>
      </c>
      <c r="QD26" s="332">
        <f t="shared" si="89"/>
        <v>0</v>
      </c>
      <c r="QE26" s="686">
        <f t="shared" si="90"/>
        <v>0</v>
      </c>
      <c r="QF26" s="430">
        <f t="shared" si="91"/>
        <v>0</v>
      </c>
      <c r="QG26" s="686">
        <f t="shared" si="92"/>
        <v>0</v>
      </c>
      <c r="QH26" s="633">
        <f t="shared" si="93"/>
        <v>0</v>
      </c>
      <c r="QI26" s="452">
        <f t="shared" si="94"/>
        <v>0</v>
      </c>
      <c r="QJ26" s="686">
        <f t="shared" si="95"/>
        <v>0</v>
      </c>
      <c r="QK26" s="430">
        <f t="shared" si="96"/>
        <v>0</v>
      </c>
      <c r="QL26" s="686">
        <f t="shared" si="97"/>
        <v>0</v>
      </c>
      <c r="QM26" s="332">
        <f t="shared" si="98"/>
        <v>0</v>
      </c>
      <c r="QN26" s="786">
        <f t="shared" si="99"/>
        <v>0</v>
      </c>
      <c r="QO26" s="332">
        <f t="shared" si="100"/>
        <v>0</v>
      </c>
      <c r="QP26" s="686">
        <f t="shared" si="101"/>
        <v>0</v>
      </c>
      <c r="QQ26" s="570">
        <f t="shared" si="102"/>
        <v>0</v>
      </c>
      <c r="QR26" s="430">
        <f>[1]Субсидия_факт!JE24</f>
        <v>0</v>
      </c>
      <c r="QS26" s="931">
        <f>[1]Субсидия_факт!JI24</f>
        <v>0</v>
      </c>
      <c r="QT26" s="607">
        <f>[1]Субсидия_факт!JU24</f>
        <v>0</v>
      </c>
      <c r="QU26" s="678">
        <f>[1]Субсидия_факт!JY24</f>
        <v>0</v>
      </c>
      <c r="QV26" s="332">
        <f>[1]Субсидия_факт!KW24</f>
        <v>0</v>
      </c>
      <c r="QW26" s="791">
        <f>[1]Субсидия_факт!LC24</f>
        <v>0</v>
      </c>
      <c r="QX26" s="332">
        <f>[1]Субсидия_факт!KK24</f>
        <v>0</v>
      </c>
      <c r="QY26" s="686">
        <f>[1]Субсидия_факт!KQ24</f>
        <v>0</v>
      </c>
      <c r="QZ26" s="570">
        <f t="shared" si="103"/>
        <v>0</v>
      </c>
      <c r="RA26" s="530"/>
      <c r="RB26" s="678"/>
      <c r="RC26" s="462"/>
      <c r="RD26" s="682"/>
      <c r="RE26" s="530"/>
      <c r="RF26" s="794"/>
      <c r="RG26" s="529"/>
      <c r="RH26" s="765"/>
      <c r="RI26" s="487">
        <f>[1]Субсидия_факт!PW24</f>
        <v>17379863.109999999</v>
      </c>
      <c r="RJ26" s="1240">
        <f t="shared" si="178"/>
        <v>17379863.109999999</v>
      </c>
      <c r="RK26" s="522">
        <f>'Прочая  субсидия_МР  и  ГО'!B22</f>
        <v>13234909.359999999</v>
      </c>
      <c r="RL26" s="517">
        <f>'Прочая  субсидия_МР  и  ГО'!C22</f>
        <v>11867697.84</v>
      </c>
      <c r="RM26" s="522">
        <f>'Прочая  субсидия_БП'!B22</f>
        <v>63360901.269999996</v>
      </c>
      <c r="RN26" s="524">
        <f>'Прочая  субсидия_БП'!C22</f>
        <v>48228471.269999996</v>
      </c>
      <c r="RO26" s="565">
        <f>'Прочая  субсидия_БП'!D22</f>
        <v>63360901.269999996</v>
      </c>
      <c r="RP26" s="564">
        <f>'Прочая  субсидия_БП'!E22</f>
        <v>48228471.269999996</v>
      </c>
      <c r="RQ26" s="571">
        <f>'Прочая  субсидия_БП'!F22</f>
        <v>0</v>
      </c>
      <c r="RR26" s="564">
        <f>'Прочая  субсидия_БП'!G22</f>
        <v>0</v>
      </c>
      <c r="RS26" s="487">
        <f t="shared" si="104"/>
        <v>279032759</v>
      </c>
      <c r="RT26" s="452">
        <f>'Проверочная  таблица'!SR26+'Проверочная  таблица'!RY26+'Проверочная  таблица'!SA26+'Проверочная  таблица'!SC26</f>
        <v>270980157</v>
      </c>
      <c r="RU26" s="332">
        <f>'Проверочная  таблица'!SS26+'Проверочная  таблица'!SE26+'Проверочная  таблица'!SK26+'Проверочная  таблица'!SG26+'Проверочная  таблица'!SO26+'Проверочная  таблица'!SI26+SM26</f>
        <v>8052602</v>
      </c>
      <c r="RV26" s="517">
        <f t="shared" si="105"/>
        <v>238166379.56999999</v>
      </c>
      <c r="RW26" s="430">
        <f>'Проверочная  таблица'!SU26+'Проверочная  таблица'!RZ26+'Проверочная  таблица'!SB26+'Проверочная  таблица'!SD26</f>
        <v>232370950</v>
      </c>
      <c r="RX26" s="332">
        <f>'Проверочная  таблица'!SV26+'Проверочная  таблица'!SF26+'Проверочная  таблица'!SL26+'Проверочная  таблица'!SH26+'Проверочная  таблица'!SP26+'Проверочная  таблица'!SJ26+SN26</f>
        <v>5795429.5700000003</v>
      </c>
      <c r="RY26" s="559">
        <f>'Субвенция  на  полномочия'!B22</f>
        <v>262684157</v>
      </c>
      <c r="RZ26" s="454">
        <f>'Субвенция  на  полномочия'!C22</f>
        <v>226538950</v>
      </c>
      <c r="SA26" s="732">
        <f>[1]Субвенция_факт!P23*1000</f>
        <v>4346000</v>
      </c>
      <c r="SB26" s="1389">
        <v>2500000</v>
      </c>
      <c r="SC26" s="732">
        <f>[1]Субвенция_факт!K23*1000</f>
        <v>3158000</v>
      </c>
      <c r="SD26" s="1389">
        <v>2540000</v>
      </c>
      <c r="SE26" s="732">
        <f>[1]Субвенция_факт!AD23*1000</f>
        <v>1223600</v>
      </c>
      <c r="SF26" s="735">
        <v>834986.17</v>
      </c>
      <c r="SG26" s="732">
        <f>[1]Субвенция_факт!AE23*1000</f>
        <v>4000</v>
      </c>
      <c r="SH26" s="735">
        <v>4000</v>
      </c>
      <c r="SI26" s="732">
        <f>[1]Субвенция_факт!E23*1000</f>
        <v>4903813</v>
      </c>
      <c r="SJ26" s="735">
        <f>2383632+1275768</f>
        <v>3659400</v>
      </c>
      <c r="SK26" s="732">
        <f>[1]Субвенция_факт!F23*1000</f>
        <v>0</v>
      </c>
      <c r="SL26" s="866"/>
      <c r="SM26" s="163">
        <f>[1]Субвенция_факт!G23*1000</f>
        <v>0</v>
      </c>
      <c r="SN26" s="867"/>
      <c r="SO26" s="732">
        <f>[1]Субвенция_факт!H23*1000</f>
        <v>0</v>
      </c>
      <c r="SP26" s="735"/>
      <c r="SQ26" s="524">
        <f t="shared" si="106"/>
        <v>2713189</v>
      </c>
      <c r="SR26" s="865">
        <f>[1]Субвенция_факт!AC23*1000</f>
        <v>792000</v>
      </c>
      <c r="SS26" s="1040">
        <f>[1]Субвенция_факт!AB23*1000</f>
        <v>1921189</v>
      </c>
      <c r="ST26" s="517">
        <f t="shared" si="107"/>
        <v>2089043.4</v>
      </c>
      <c r="SU26" s="1503">
        <v>792000</v>
      </c>
      <c r="SV26" s="1506">
        <v>1297043.3999999999</v>
      </c>
      <c r="SW26" s="271">
        <f>'Проверочная  таблица'!VC26+'Проверочная  таблица'!UY26+'Проверочная  таблица'!TQ26+'Проверочная  таблица'!TU26+SY26+'Проверочная  таблица'!US26+UC26+UI26</f>
        <v>0</v>
      </c>
      <c r="SX26" s="163">
        <f>'Проверочная  таблица'!VE26+'Проверочная  таблица'!VA26+'Проверочная  таблица'!TS26+'Проверочная  таблица'!TW26+TH26+'Проверочная  таблица'!UV26+UF26+UL26</f>
        <v>0</v>
      </c>
      <c r="SY26" s="1129">
        <f t="shared" si="108"/>
        <v>0</v>
      </c>
      <c r="SZ26" s="1114">
        <f>'[1]Иные межбюджетные трансферты'!O24</f>
        <v>0</v>
      </c>
      <c r="TA26" s="1111">
        <f>'[1]Иные межбюджетные трансферты'!Q24</f>
        <v>0</v>
      </c>
      <c r="TB26" s="879">
        <f>'[1]Иные межбюджетные трансферты'!I24</f>
        <v>0</v>
      </c>
      <c r="TC26" s="1111">
        <f>'[1]Иные межбюджетные трансферты'!K24</f>
        <v>0</v>
      </c>
      <c r="TD26" s="879">
        <f>'[1]Иные межбюджетные трансферты'!S24</f>
        <v>0</v>
      </c>
      <c r="TE26" s="958">
        <f>'[1]Иные межбюджетные трансферты'!U24</f>
        <v>0</v>
      </c>
      <c r="TF26" s="1236">
        <f>'[1]Иные межбюджетные трансферты'!M24</f>
        <v>0</v>
      </c>
      <c r="TG26" s="1231">
        <f>'[1]Иные межбюджетные трансферты'!W24</f>
        <v>0</v>
      </c>
      <c r="TH26" s="991">
        <f t="shared" si="109"/>
        <v>0</v>
      </c>
      <c r="TI26" s="984"/>
      <c r="TJ26" s="982"/>
      <c r="TK26" s="879"/>
      <c r="TL26" s="958"/>
      <c r="TM26" s="879"/>
      <c r="TN26" s="958"/>
      <c r="TO26" s="984"/>
      <c r="TP26" s="1269"/>
      <c r="TQ26" s="973">
        <f t="shared" si="179"/>
        <v>0</v>
      </c>
      <c r="TR26" s="1458">
        <f>'[1]Иные межбюджетные трансферты'!Y24</f>
        <v>0</v>
      </c>
      <c r="TS26" s="973">
        <f t="shared" si="179"/>
        <v>0</v>
      </c>
      <c r="TT26" s="958"/>
      <c r="TU26" s="973">
        <f t="shared" ref="TU26" si="206">TV26</f>
        <v>0</v>
      </c>
      <c r="TV26" s="958">
        <f>'[1]Иные межбюджетные трансферты'!AA24</f>
        <v>0</v>
      </c>
      <c r="TW26" s="973">
        <f t="shared" si="110"/>
        <v>0</v>
      </c>
      <c r="TX26" s="1111"/>
      <c r="TY26" s="976">
        <f t="shared" si="111"/>
        <v>0</v>
      </c>
      <c r="TZ26" s="970">
        <f t="shared" si="112"/>
        <v>0</v>
      </c>
      <c r="UA26" s="1266">
        <f t="shared" si="181"/>
        <v>0</v>
      </c>
      <c r="UB26" s="976">
        <f t="shared" si="182"/>
        <v>0</v>
      </c>
      <c r="UC26" s="973">
        <f t="shared" si="113"/>
        <v>0</v>
      </c>
      <c r="UD26" s="1272">
        <f>'[1]Иные межбюджетные трансферты'!AE24</f>
        <v>0</v>
      </c>
      <c r="UE26" s="1145">
        <f>'[1]Иные межбюджетные трансферты'!AK24</f>
        <v>0</v>
      </c>
      <c r="UF26" s="973">
        <f t="shared" si="114"/>
        <v>0</v>
      </c>
      <c r="UG26" s="958"/>
      <c r="UH26" s="958"/>
      <c r="UI26" s="973">
        <f t="shared" si="115"/>
        <v>0</v>
      </c>
      <c r="UJ26" s="1272">
        <f>'[1]Иные межбюджетные трансферты'!AG24</f>
        <v>0</v>
      </c>
      <c r="UK26" s="1145">
        <f>'[1]Иные межбюджетные трансферты'!AM24</f>
        <v>0</v>
      </c>
      <c r="UL26" s="973">
        <f t="shared" si="116"/>
        <v>0</v>
      </c>
      <c r="UM26" s="958"/>
      <c r="UN26" s="1111"/>
      <c r="UO26" s="976">
        <f t="shared" si="183"/>
        <v>0</v>
      </c>
      <c r="UP26" s="970">
        <f t="shared" si="184"/>
        <v>0</v>
      </c>
      <c r="UQ26" s="970">
        <f t="shared" si="185"/>
        <v>0</v>
      </c>
      <c r="UR26" s="1462">
        <f t="shared" si="186"/>
        <v>0</v>
      </c>
      <c r="US26" s="1263">
        <f t="shared" si="117"/>
        <v>0</v>
      </c>
      <c r="UT26" s="1040">
        <f>'[1]Иные межбюджетные трансферты'!E24</f>
        <v>0</v>
      </c>
      <c r="UU26" s="1126">
        <f>'[1]Иные межбюджетные трансферты'!G24</f>
        <v>0</v>
      </c>
      <c r="UV26" s="733">
        <f t="shared" si="118"/>
        <v>0</v>
      </c>
      <c r="UW26" s="1040"/>
      <c r="UX26" s="1126"/>
      <c r="UY26" s="880">
        <f t="shared" si="119"/>
        <v>0</v>
      </c>
      <c r="UZ26" s="958"/>
      <c r="VA26" s="1039">
        <f t="shared" si="120"/>
        <v>0</v>
      </c>
      <c r="VB26" s="890"/>
      <c r="VC26" s="510">
        <f t="shared" si="121"/>
        <v>0</v>
      </c>
      <c r="VD26" s="874">
        <f>'[1]Иные межбюджетные трансферты'!AS24</f>
        <v>0</v>
      </c>
      <c r="VE26" s="510">
        <f t="shared" si="122"/>
        <v>0</v>
      </c>
      <c r="VF26" s="513"/>
      <c r="VG26" s="886">
        <f t="shared" si="123"/>
        <v>0</v>
      </c>
      <c r="VH26" s="511">
        <f>'Проверочная  таблица'!VD26-VL26</f>
        <v>0</v>
      </c>
      <c r="VI26" s="886">
        <f t="shared" si="124"/>
        <v>0</v>
      </c>
      <c r="VJ26" s="511">
        <f>'Проверочная  таблица'!VF26-VN26</f>
        <v>0</v>
      </c>
      <c r="VK26" s="886">
        <f t="shared" si="125"/>
        <v>0</v>
      </c>
      <c r="VL26" s="874">
        <f>'[1]Иные межбюджетные трансферты'!AU24</f>
        <v>0</v>
      </c>
      <c r="VM26" s="1038">
        <f t="shared" si="126"/>
        <v>0</v>
      </c>
      <c r="VN26" s="513"/>
      <c r="VO26" s="517">
        <f>VQ26+'Проверочная  таблица'!VY26+VU26+'Проверочная  таблица'!WC26+VW26+'Проверочная  таблица'!WE26</f>
        <v>-16740000</v>
      </c>
      <c r="VP26" s="517">
        <f>VR26+'Проверочная  таблица'!VZ26+VV26+'Проверочная  таблица'!WD26+VX26+'Проверочная  таблица'!WF26</f>
        <v>-7840000</v>
      </c>
      <c r="VQ26" s="531">
        <v>3700000</v>
      </c>
      <c r="VR26" s="531">
        <v>3700000</v>
      </c>
      <c r="VS26" s="531">
        <v>260000</v>
      </c>
      <c r="VT26" s="531">
        <v>260000</v>
      </c>
      <c r="VU26" s="528">
        <f t="shared" si="127"/>
        <v>260000</v>
      </c>
      <c r="VV26" s="526">
        <f t="shared" si="128"/>
        <v>260000</v>
      </c>
      <c r="VW26" s="532"/>
      <c r="VX26" s="521"/>
      <c r="VY26" s="531">
        <v>-19700000</v>
      </c>
      <c r="VZ26" s="531">
        <v>-10800000</v>
      </c>
      <c r="WA26" s="531">
        <v>-1000000</v>
      </c>
      <c r="WB26" s="531">
        <v>-1000000</v>
      </c>
      <c r="WC26" s="528">
        <f t="shared" si="129"/>
        <v>-1000000</v>
      </c>
      <c r="WD26" s="526">
        <f t="shared" si="130"/>
        <v>-1000000</v>
      </c>
      <c r="WE26" s="521"/>
      <c r="WF26" s="521"/>
      <c r="WG26" s="1356">
        <f>'Проверочная  таблица'!VY26+'Проверочная  таблица'!WA26</f>
        <v>-20700000</v>
      </c>
      <c r="WH26" s="1356">
        <f>'Проверочная  таблица'!VZ26+'Проверочная  таблица'!WB26</f>
        <v>-11800000</v>
      </c>
      <c r="WI26" s="1481"/>
    </row>
    <row r="27" spans="1:607" s="329" customFormat="1" ht="25.5" customHeight="1" x14ac:dyDescent="0.3">
      <c r="A27" s="338" t="s">
        <v>103</v>
      </c>
      <c r="B27" s="524">
        <f>D27+AI27+'Проверочная  таблица'!RS27+'Проверочная  таблица'!SW27</f>
        <v>1128375015.3400002</v>
      </c>
      <c r="C27" s="517">
        <f>E27+'Проверочная  таблица'!RV27+AJ27+'Проверочная  таблица'!SX27</f>
        <v>856662851.13</v>
      </c>
      <c r="D27" s="522">
        <f t="shared" si="0"/>
        <v>187314035</v>
      </c>
      <c r="E27" s="524">
        <f t="shared" si="1"/>
        <v>147215750</v>
      </c>
      <c r="F27" s="1062">
        <f>'[1]Дотация  из  ОБ_факт'!I23+'[1]Дотация  из  ОБ_факт'!Q23</f>
        <v>58823200</v>
      </c>
      <c r="G27" s="1366">
        <v>49879900</v>
      </c>
      <c r="H27" s="563">
        <f>'[1]Дотация  из  ОБ_факт'!K23</f>
        <v>93266400</v>
      </c>
      <c r="I27" s="1366">
        <v>73449311</v>
      </c>
      <c r="J27" s="564">
        <f t="shared" si="2"/>
        <v>64560800</v>
      </c>
      <c r="K27" s="571">
        <f>I27-M27</f>
        <v>51045116</v>
      </c>
      <c r="L27" s="883">
        <f>'[1]Дотация  из  ОБ_факт'!O23</f>
        <v>28705600</v>
      </c>
      <c r="M27" s="1364">
        <v>22404195</v>
      </c>
      <c r="N27" s="563">
        <f>'[1]Дотация  из  ОБ_факт'!U23</f>
        <v>15732451</v>
      </c>
      <c r="O27" s="1366">
        <v>9933330</v>
      </c>
      <c r="P27" s="784">
        <f>'[1]Дотация  из  ОБ_факт'!W23</f>
        <v>17834500</v>
      </c>
      <c r="Q27" s="1366">
        <v>13953209</v>
      </c>
      <c r="R27" s="571">
        <f t="shared" si="4"/>
        <v>17454100</v>
      </c>
      <c r="S27" s="564">
        <f t="shared" si="5"/>
        <v>13667909</v>
      </c>
      <c r="T27" s="1059">
        <f>'[1]Дотация  из  ОБ_факт'!AA23</f>
        <v>380400</v>
      </c>
      <c r="U27" s="1366">
        <v>285300</v>
      </c>
      <c r="V27" s="784">
        <f>'[1]Дотация  из  ОБ_факт'!AE23+'[1]Дотация  из  ОБ_факт'!AG23+'[1]Дотация  из  ОБ_факт'!AK23</f>
        <v>1057484</v>
      </c>
      <c r="W27" s="163">
        <f t="shared" si="6"/>
        <v>0</v>
      </c>
      <c r="X27" s="567"/>
      <c r="Y27" s="566"/>
      <c r="Z27" s="567"/>
      <c r="AA27" s="563">
        <f>'[1]Дотация  из  ОБ_факт'!AC23+'[1]Дотация  из  ОБ_факт'!AI23</f>
        <v>600000</v>
      </c>
      <c r="AB27" s="165">
        <f t="shared" si="7"/>
        <v>0</v>
      </c>
      <c r="AC27" s="566"/>
      <c r="AD27" s="567"/>
      <c r="AE27" s="564">
        <f t="shared" si="8"/>
        <v>600000</v>
      </c>
      <c r="AF27" s="571">
        <f t="shared" si="9"/>
        <v>0</v>
      </c>
      <c r="AG27" s="565">
        <f>'[1]Дотация  из  ОБ_факт'!AI23</f>
        <v>0</v>
      </c>
      <c r="AH27" s="1370">
        <f t="shared" si="131"/>
        <v>0</v>
      </c>
      <c r="AI27" s="559">
        <f>'Проверочная  таблица'!KI27+NU27+OA27+'Проверочная  таблица'!RK27+'Проверочная  таблица'!RM27+DE27+DG27+DM27+DO27+'Проверочная  таблица'!MY27+'Проверочная  таблица'!NC27+CG27+CQ27+'Проверочная  таблица'!HE27+'Проверочная  таблица'!HW27+'Проверочная  таблица'!ES27+'Проверочная  таблица'!JY27+DU27+'Проверочная  таблица'!GA27+'Проверочная  таблица'!GG27+'Проверочная  таблица'!LG27+'Проверочная  таблица'!LU27+FU27+'Проверочная  таблица'!KU27+RI27+OS27+PG27+EK27+AK27+AW27+FO27+FE27+GY27+EY27</f>
        <v>513275782.34000003</v>
      </c>
      <c r="AJ27" s="487">
        <f>'Проверочная  таблица'!KO27+NX27+OD27+'Проверочная  таблица'!RL27+'Проверочная  таблица'!RN27+DF27+DH27+DN27+DP27+'Проверочная  таблица'!NA27+'Проверочная  таблица'!NF27+CL27+CV27+'Проверочная  таблица'!HN27+'Проверочная  таблица'!IF27+'Проверочная  таблица'!EV27+'Проверочная  таблица'!KD27+EC27+'Проверочная  таблица'!GD27+'Проверочная  таблица'!GJ27+'Проверочная  таблица'!LN27+'Проверочная  таблица'!LZ27+FX27+'Проверочная  таблица'!KY27+FR27+RJ27+PP27+OZ27+EM27+AQ27+BC27+FJ27+HB27+FB27</f>
        <v>366014367.61000001</v>
      </c>
      <c r="AK27" s="487">
        <f t="shared" si="10"/>
        <v>38531196</v>
      </c>
      <c r="AL27" s="332">
        <f>[1]Субсидия_факт!CO25</f>
        <v>0</v>
      </c>
      <c r="AM27" s="523">
        <f>[1]Субсидия_факт!FK25</f>
        <v>38531196</v>
      </c>
      <c r="AN27" s="498">
        <f>[1]Субсидия_факт!FW25</f>
        <v>0</v>
      </c>
      <c r="AO27" s="523">
        <f>[1]Субсидия_факт!KA25</f>
        <v>0</v>
      </c>
      <c r="AP27" s="332">
        <f>[1]Субсидия_факт!LE25</f>
        <v>0</v>
      </c>
      <c r="AQ27" s="487">
        <f t="shared" si="11"/>
        <v>37193175</v>
      </c>
      <c r="AR27" s="462"/>
      <c r="AS27" s="462">
        <v>37193175</v>
      </c>
      <c r="AT27" s="462"/>
      <c r="AU27" s="462"/>
      <c r="AV27" s="462"/>
      <c r="AW27" s="487">
        <f t="shared" si="132"/>
        <v>0</v>
      </c>
      <c r="AX27" s="452">
        <f>[1]Субсидия_факт!CQ25</f>
        <v>0</v>
      </c>
      <c r="AY27" s="332">
        <f>[1]Субсидия_факт!FO25</f>
        <v>0</v>
      </c>
      <c r="AZ27" s="476">
        <f>[1]Субсидия_факт!JK25</f>
        <v>0</v>
      </c>
      <c r="BA27" s="496">
        <f>[1]Субсидия_факт!KC25</f>
        <v>0</v>
      </c>
      <c r="BB27" s="498">
        <f>[1]Субсидия_факт!LG25</f>
        <v>0</v>
      </c>
      <c r="BC27" s="487">
        <f t="shared" si="133"/>
        <v>0</v>
      </c>
      <c r="BD27" s="529"/>
      <c r="BE27" s="529"/>
      <c r="BF27" s="333"/>
      <c r="BG27" s="530"/>
      <c r="BH27" s="529"/>
      <c r="BI27" s="657">
        <f t="shared" si="134"/>
        <v>0</v>
      </c>
      <c r="BJ27" s="1025">
        <f t="shared" si="12"/>
        <v>0</v>
      </c>
      <c r="BK27" s="452">
        <f t="shared" si="13"/>
        <v>0</v>
      </c>
      <c r="BL27" s="452">
        <f t="shared" si="14"/>
        <v>0</v>
      </c>
      <c r="BM27" s="332">
        <f t="shared" si="15"/>
        <v>0</v>
      </c>
      <c r="BN27" s="488">
        <f t="shared" si="16"/>
        <v>0</v>
      </c>
      <c r="BO27" s="657">
        <f t="shared" si="135"/>
        <v>0</v>
      </c>
      <c r="BP27" s="607">
        <f t="shared" si="17"/>
        <v>0</v>
      </c>
      <c r="BQ27" s="496">
        <f t="shared" si="18"/>
        <v>0</v>
      </c>
      <c r="BR27" s="332">
        <f t="shared" si="19"/>
        <v>0</v>
      </c>
      <c r="BS27" s="430">
        <f t="shared" si="20"/>
        <v>0</v>
      </c>
      <c r="BT27" s="332">
        <f t="shared" si="21"/>
        <v>0</v>
      </c>
      <c r="BU27" s="657">
        <f t="shared" si="136"/>
        <v>0</v>
      </c>
      <c r="BV27" s="452">
        <f>[1]Субсидия_факт!CS25</f>
        <v>0</v>
      </c>
      <c r="BW27" s="332">
        <f>[1]Субсидия_факт!FQ25</f>
        <v>0</v>
      </c>
      <c r="BX27" s="476">
        <f>[1]Субсидия_факт!JM25</f>
        <v>0</v>
      </c>
      <c r="BY27" s="430">
        <f>[1]Субсидия_факт!KE25</f>
        <v>0</v>
      </c>
      <c r="BZ27" s="332">
        <f>[1]Субсидия_факт!LI25</f>
        <v>0</v>
      </c>
      <c r="CA27" s="659">
        <f t="shared" si="137"/>
        <v>0</v>
      </c>
      <c r="CB27" s="782"/>
      <c r="CC27" s="529"/>
      <c r="CD27" s="462"/>
      <c r="CE27" s="529"/>
      <c r="CF27" s="529"/>
      <c r="CG27" s="517">
        <f t="shared" si="22"/>
        <v>15218215.119999999</v>
      </c>
      <c r="CH27" s="430">
        <f>[1]Субсидия_факт!LM25</f>
        <v>0</v>
      </c>
      <c r="CI27" s="452">
        <f>[1]Субсидия_факт!LS25</f>
        <v>15218215.119999999</v>
      </c>
      <c r="CJ27" s="332">
        <f>[1]Субсидия_факт!ME25</f>
        <v>0</v>
      </c>
      <c r="CK27" s="511">
        <f>[1]Субсидия_факт!MK25</f>
        <v>0</v>
      </c>
      <c r="CL27" s="517">
        <f t="shared" si="23"/>
        <v>15197580.48</v>
      </c>
      <c r="CM27" s="529"/>
      <c r="CN27" s="529">
        <v>15197580.48</v>
      </c>
      <c r="CO27" s="529"/>
      <c r="CP27" s="610"/>
      <c r="CQ27" s="517">
        <f t="shared" si="24"/>
        <v>53327230.039999999</v>
      </c>
      <c r="CR27" s="452">
        <f>[1]Субсидия_факт!LO25</f>
        <v>0</v>
      </c>
      <c r="CS27" s="452">
        <f>[1]Субсидия_факт!LU25</f>
        <v>53327230.039999999</v>
      </c>
      <c r="CT27" s="332">
        <f>[1]Субсидия_факт!MG25</f>
        <v>0</v>
      </c>
      <c r="CU27" s="511">
        <f>[1]Субсидия_факт!MM25</f>
        <v>0</v>
      </c>
      <c r="CV27" s="517">
        <f t="shared" si="25"/>
        <v>11141414.07</v>
      </c>
      <c r="CW27" s="529"/>
      <c r="CX27" s="530">
        <v>11141414.07</v>
      </c>
      <c r="CY27" s="782"/>
      <c r="CZ27" s="719"/>
      <c r="DA27" s="528">
        <f t="shared" si="138"/>
        <v>0</v>
      </c>
      <c r="DB27" s="526">
        <f t="shared" si="139"/>
        <v>0</v>
      </c>
      <c r="DC27" s="525">
        <f t="shared" si="140"/>
        <v>53327230.039999999</v>
      </c>
      <c r="DD27" s="528">
        <f t="shared" si="141"/>
        <v>11141414.07</v>
      </c>
      <c r="DE27" s="524">
        <f>[1]Субсидия_факт!GC25</f>
        <v>0</v>
      </c>
      <c r="DF27" s="330"/>
      <c r="DG27" s="522">
        <f>[1]Субсидия_факт!GE25</f>
        <v>0</v>
      </c>
      <c r="DH27" s="330"/>
      <c r="DI27" s="757">
        <f t="shared" si="142"/>
        <v>0</v>
      </c>
      <c r="DJ27" s="570">
        <f t="shared" si="143"/>
        <v>0</v>
      </c>
      <c r="DK27" s="757">
        <f>[1]Субсидия_факт!GG25</f>
        <v>0</v>
      </c>
      <c r="DL27" s="1387">
        <f t="shared" si="144"/>
        <v>0</v>
      </c>
      <c r="DM27" s="516">
        <f>[1]Субсидия_факт!GI25</f>
        <v>0</v>
      </c>
      <c r="DN27" s="604"/>
      <c r="DO27" s="517">
        <f>[1]Субсидия_факт!GK25</f>
        <v>0</v>
      </c>
      <c r="DP27" s="604"/>
      <c r="DQ27" s="526">
        <f t="shared" si="28"/>
        <v>0</v>
      </c>
      <c r="DR27" s="526">
        <f t="shared" si="29"/>
        <v>0</v>
      </c>
      <c r="DS27" s="653">
        <f t="shared" si="30"/>
        <v>0</v>
      </c>
      <c r="DT27" s="1385">
        <f t="shared" si="145"/>
        <v>0</v>
      </c>
      <c r="DU27" s="517">
        <f t="shared" si="31"/>
        <v>2910418.9</v>
      </c>
      <c r="DV27" s="523">
        <f>[1]Субсидия_факт!E25</f>
        <v>0</v>
      </c>
      <c r="DW27" s="1025">
        <f>[1]Субсидия_факт!G25</f>
        <v>0</v>
      </c>
      <c r="DX27" s="678">
        <f>[1]Субсидия_факт!I25</f>
        <v>0</v>
      </c>
      <c r="DY27" s="636">
        <f>[1]Субсидия_факт!K25</f>
        <v>716500</v>
      </c>
      <c r="DZ27" s="786">
        <f>[1]Субсидия_факт!M25</f>
        <v>1842356.4</v>
      </c>
      <c r="EA27" s="498">
        <f>[1]Субсидия_факт!O25</f>
        <v>0</v>
      </c>
      <c r="EB27" s="636">
        <f>[1]Субсидия_факт!Q25</f>
        <v>351562.5</v>
      </c>
      <c r="EC27" s="516">
        <f t="shared" si="32"/>
        <v>351562.5</v>
      </c>
      <c r="ED27" s="530"/>
      <c r="EE27" s="529"/>
      <c r="EF27" s="682"/>
      <c r="EG27" s="529"/>
      <c r="EH27" s="682"/>
      <c r="EI27" s="530"/>
      <c r="EJ27" s="607">
        <f t="shared" si="146"/>
        <v>351562.5</v>
      </c>
      <c r="EK27" s="516">
        <f t="shared" si="147"/>
        <v>0</v>
      </c>
      <c r="EL27" s="1223">
        <f>[1]Субсидия_факт!S25</f>
        <v>0</v>
      </c>
      <c r="EM27" s="524">
        <f t="shared" si="147"/>
        <v>0</v>
      </c>
      <c r="EN27" s="607">
        <f t="shared" si="148"/>
        <v>0</v>
      </c>
      <c r="EO27" s="570">
        <f t="shared" si="149"/>
        <v>0</v>
      </c>
      <c r="EP27" s="633">
        <f t="shared" si="150"/>
        <v>0</v>
      </c>
      <c r="EQ27" s="633">
        <f>[1]Субсидия_факт!U25</f>
        <v>0</v>
      </c>
      <c r="ER27" s="1245">
        <f t="shared" si="151"/>
        <v>0</v>
      </c>
      <c r="ES27" s="487">
        <f t="shared" si="33"/>
        <v>0</v>
      </c>
      <c r="ET27" s="511">
        <f>[1]Субсидия_факт!AU25</f>
        <v>0</v>
      </c>
      <c r="EU27" s="890">
        <f>[1]Субсидия_факт!AW25</f>
        <v>0</v>
      </c>
      <c r="EV27" s="454">
        <f t="shared" si="34"/>
        <v>0</v>
      </c>
      <c r="EW27" s="777"/>
      <c r="EX27" s="1095"/>
      <c r="EY27" s="487">
        <f t="shared" si="35"/>
        <v>0</v>
      </c>
      <c r="EZ27" s="511">
        <f>[1]Субсидия_факт!FY25</f>
        <v>0</v>
      </c>
      <c r="FA27" s="890">
        <f>[1]Субсидия_факт!GA25</f>
        <v>0</v>
      </c>
      <c r="FB27" s="454">
        <f t="shared" si="36"/>
        <v>0</v>
      </c>
      <c r="FC27" s="777"/>
      <c r="FD27" s="1095"/>
      <c r="FE27" s="517">
        <f t="shared" si="152"/>
        <v>2864400</v>
      </c>
      <c r="FF27" s="430">
        <f>[1]Субсидия_факт!W25</f>
        <v>143220</v>
      </c>
      <c r="FG27" s="931">
        <f>[1]Субсидия_факт!Y25</f>
        <v>2721180</v>
      </c>
      <c r="FH27" s="452">
        <f>[1]Субсидия_факт!AA25</f>
        <v>0</v>
      </c>
      <c r="FI27" s="686">
        <f>[1]Субсидия_факт!AC25</f>
        <v>0</v>
      </c>
      <c r="FJ27" s="516">
        <f t="shared" si="153"/>
        <v>0</v>
      </c>
      <c r="FK27" s="462"/>
      <c r="FL27" s="682"/>
      <c r="FM27" s="462"/>
      <c r="FN27" s="682"/>
      <c r="FO27" s="487">
        <f t="shared" si="37"/>
        <v>0</v>
      </c>
      <c r="FP27" s="511">
        <f>[1]Субсидия_факт!AY25</f>
        <v>0</v>
      </c>
      <c r="FQ27" s="890">
        <f>[1]Субсидия_факт!BA25</f>
        <v>0</v>
      </c>
      <c r="FR27" s="454">
        <f t="shared" si="38"/>
        <v>0</v>
      </c>
      <c r="FS27" s="777"/>
      <c r="FT27" s="673"/>
      <c r="FU27" s="524">
        <f t="shared" si="154"/>
        <v>0</v>
      </c>
      <c r="FV27" s="498">
        <f>[1]Субсидия_факт!EE25</f>
        <v>0</v>
      </c>
      <c r="FW27" s="686">
        <f>[1]Субсидия_факт!EG25</f>
        <v>0</v>
      </c>
      <c r="FX27" s="517">
        <f t="shared" si="155"/>
        <v>0</v>
      </c>
      <c r="FY27" s="529"/>
      <c r="FZ27" s="704"/>
      <c r="GA27" s="559">
        <f t="shared" si="41"/>
        <v>0</v>
      </c>
      <c r="GB27" s="511">
        <f>[1]Субсидия_факт!DS25</f>
        <v>0</v>
      </c>
      <c r="GC27" s="890">
        <f>[1]Субсидия_факт!DY25</f>
        <v>0</v>
      </c>
      <c r="GD27" s="454">
        <f t="shared" si="42"/>
        <v>0</v>
      </c>
      <c r="GE27" s="719"/>
      <c r="GF27" s="673"/>
      <c r="GG27" s="454">
        <f t="shared" si="43"/>
        <v>1600000</v>
      </c>
      <c r="GH27" s="511">
        <f>[1]Субсидия_факт!DU25</f>
        <v>448002.2</v>
      </c>
      <c r="GI27" s="751">
        <f>[1]Субсидия_факт!EA25</f>
        <v>1151997.8</v>
      </c>
      <c r="GJ27" s="454">
        <f t="shared" si="44"/>
        <v>1600000</v>
      </c>
      <c r="GK27" s="756">
        <f t="shared" si="201"/>
        <v>448002.2</v>
      </c>
      <c r="GL27" s="810">
        <f t="shared" si="201"/>
        <v>1151997.8</v>
      </c>
      <c r="GM27" s="659">
        <f t="shared" si="45"/>
        <v>1600000</v>
      </c>
      <c r="GN27" s="749">
        <f>'Проверочная  таблица'!GH27-'Проверочная  таблица'!GT27</f>
        <v>448002.2</v>
      </c>
      <c r="GO27" s="671">
        <f>'Проверочная  таблица'!GI27-'Проверочная  таблица'!GU27</f>
        <v>1151997.8</v>
      </c>
      <c r="GP27" s="653">
        <f t="shared" si="46"/>
        <v>1600000</v>
      </c>
      <c r="GQ27" s="756">
        <f>'Проверочная  таблица'!GK27-'Проверочная  таблица'!GW27</f>
        <v>448002.2</v>
      </c>
      <c r="GR27" s="768">
        <f>'Проверочная  таблица'!GL27-'Проверочная  таблица'!GX27</f>
        <v>1151997.8</v>
      </c>
      <c r="GS27" s="659">
        <f t="shared" si="47"/>
        <v>0</v>
      </c>
      <c r="GT27" s="511">
        <f>[1]Субсидия_факт!DW25</f>
        <v>0</v>
      </c>
      <c r="GU27" s="890">
        <f>[1]Субсидия_факт!EC25</f>
        <v>0</v>
      </c>
      <c r="GV27" s="659">
        <f t="shared" si="48"/>
        <v>0</v>
      </c>
      <c r="GW27" s="511"/>
      <c r="GX27" s="751"/>
      <c r="GY27" s="454">
        <f t="shared" si="49"/>
        <v>0</v>
      </c>
      <c r="GZ27" s="756">
        <f>[1]Субсидия_факт!AE25</f>
        <v>0</v>
      </c>
      <c r="HA27" s="671">
        <f>[1]Субсидия_факт!AG25</f>
        <v>0</v>
      </c>
      <c r="HB27" s="454">
        <f t="shared" si="50"/>
        <v>0</v>
      </c>
      <c r="HC27" s="756"/>
      <c r="HD27" s="671"/>
      <c r="HE27" s="747">
        <f t="shared" si="51"/>
        <v>48442.030000000013</v>
      </c>
      <c r="HF27" s="756">
        <f>[1]Субсидия_факт!BW25</f>
        <v>0</v>
      </c>
      <c r="HG27" s="671">
        <f>[1]Субсидия_факт!CC25</f>
        <v>0</v>
      </c>
      <c r="HH27" s="511">
        <f>[1]Субсидия_факт!CU25</f>
        <v>43478.260000000009</v>
      </c>
      <c r="HI27" s="890">
        <f>[1]Субсидия_факт!DA25</f>
        <v>4963.7700000000004</v>
      </c>
      <c r="HJ27" s="511">
        <f>[1]Субсидия_факт!DG25</f>
        <v>0</v>
      </c>
      <c r="HK27" s="890">
        <f>[1]Субсидия_факт!DM25</f>
        <v>0</v>
      </c>
      <c r="HL27" s="511">
        <f>[1]Субсидия_факт!EI25</f>
        <v>0</v>
      </c>
      <c r="HM27" s="751">
        <f>[1]Субсидия_факт!EO25</f>
        <v>0</v>
      </c>
      <c r="HN27" s="747">
        <f t="shared" si="52"/>
        <v>48442.030000000013</v>
      </c>
      <c r="HO27" s="610"/>
      <c r="HP27" s="673"/>
      <c r="HQ27" s="756">
        <f t="shared" si="156"/>
        <v>43478.260000000009</v>
      </c>
      <c r="HR27" s="768">
        <f t="shared" si="188"/>
        <v>4963.7700000000004</v>
      </c>
      <c r="HS27" s="756">
        <f t="shared" si="157"/>
        <v>0</v>
      </c>
      <c r="HT27" s="1480">
        <f t="shared" si="158"/>
        <v>0</v>
      </c>
      <c r="HU27" s="610"/>
      <c r="HV27" s="673"/>
      <c r="HW27" s="747">
        <f t="shared" si="53"/>
        <v>36331.519999999997</v>
      </c>
      <c r="HX27" s="756">
        <f>[1]Субсидия_факт!BY25</f>
        <v>0</v>
      </c>
      <c r="HY27" s="671">
        <f>[1]Субсидия_факт!CE25</f>
        <v>0</v>
      </c>
      <c r="HZ27" s="511">
        <f>[1]Субсидия_факт!CW25</f>
        <v>32608.689999999995</v>
      </c>
      <c r="IA27" s="751">
        <f>[1]Субсидия_факт!DC25</f>
        <v>3722.83</v>
      </c>
      <c r="IB27" s="511">
        <f>[1]Субсидия_факт!DI25</f>
        <v>0</v>
      </c>
      <c r="IC27" s="890">
        <f>[1]Субсидия_факт!DO25</f>
        <v>0</v>
      </c>
      <c r="ID27" s="511">
        <f>[1]Субсидия_факт!EK25</f>
        <v>0</v>
      </c>
      <c r="IE27" s="751">
        <f>[1]Субсидия_факт!EQ25</f>
        <v>0</v>
      </c>
      <c r="IF27" s="747">
        <f t="shared" si="54"/>
        <v>36331.519999999997</v>
      </c>
      <c r="IG27" s="610"/>
      <c r="IH27" s="673"/>
      <c r="II27" s="749">
        <f t="shared" si="159"/>
        <v>32608.689999999995</v>
      </c>
      <c r="IJ27" s="671">
        <f t="shared" si="160"/>
        <v>3722.83</v>
      </c>
      <c r="IK27" s="777"/>
      <c r="IL27" s="673"/>
      <c r="IM27" s="610"/>
      <c r="IN27" s="673"/>
      <c r="IO27" s="750">
        <f t="shared" si="55"/>
        <v>0</v>
      </c>
      <c r="IP27" s="756">
        <f>'Проверочная  таблица'!HX27-JH27</f>
        <v>0</v>
      </c>
      <c r="IQ27" s="671">
        <f>'Проверочная  таблица'!HY27-JI27</f>
        <v>0</v>
      </c>
      <c r="IR27" s="756">
        <f>'Проверочная  таблица'!HZ27-JJ27</f>
        <v>0</v>
      </c>
      <c r="IS27" s="671">
        <f>'Проверочная  таблица'!IA27-JK27</f>
        <v>0</v>
      </c>
      <c r="IT27" s="749">
        <f>'Проверочная  таблица'!IB27-JL27</f>
        <v>0</v>
      </c>
      <c r="IU27" s="671">
        <f>'Проверочная  таблица'!IC27-JM27</f>
        <v>0</v>
      </c>
      <c r="IV27" s="756">
        <f>'Проверочная  таблица'!ID27-JN27</f>
        <v>0</v>
      </c>
      <c r="IW27" s="671">
        <f>'Проверочная  таблица'!IE27-JO27</f>
        <v>0</v>
      </c>
      <c r="IX27" s="750">
        <f t="shared" si="56"/>
        <v>0</v>
      </c>
      <c r="IY27" s="756">
        <f>'Проверочная  таблица'!IG27-JQ27</f>
        <v>0</v>
      </c>
      <c r="IZ27" s="810">
        <f>'Проверочная  таблица'!IH27-JR27</f>
        <v>0</v>
      </c>
      <c r="JA27" s="756">
        <f>'Проверочная  таблица'!II27-JS27</f>
        <v>0</v>
      </c>
      <c r="JB27" s="768">
        <f>'Проверочная  таблица'!IJ27-JT27</f>
        <v>0</v>
      </c>
      <c r="JC27" s="756">
        <f>'Проверочная  таблица'!IK27-JU27</f>
        <v>0</v>
      </c>
      <c r="JD27" s="768">
        <f>'Проверочная  таблица'!IL27-JV27</f>
        <v>0</v>
      </c>
      <c r="JE27" s="756">
        <f>'Проверочная  таблица'!IM27-JW27</f>
        <v>0</v>
      </c>
      <c r="JF27" s="768">
        <f>'Проверочная  таблица'!IN27-JX27</f>
        <v>0</v>
      </c>
      <c r="JG27" s="659">
        <f t="shared" si="57"/>
        <v>36331.519999999997</v>
      </c>
      <c r="JH27" s="756">
        <f>[1]Субсидия_факт!CA25</f>
        <v>0</v>
      </c>
      <c r="JI27" s="671">
        <f>[1]Субсидия_факт!CG25</f>
        <v>0</v>
      </c>
      <c r="JJ27" s="511">
        <f>[1]Субсидия_факт!CY25</f>
        <v>32608.689999999995</v>
      </c>
      <c r="JK27" s="751">
        <f>[1]Субсидия_факт!DE25</f>
        <v>3722.83</v>
      </c>
      <c r="JL27" s="511">
        <f>[1]Субсидия_факт!DK25</f>
        <v>0</v>
      </c>
      <c r="JM27" s="890">
        <f>[1]Субсидия_факт!DQ25</f>
        <v>0</v>
      </c>
      <c r="JN27" s="511">
        <f>[1]Субсидия_факт!EM25</f>
        <v>0</v>
      </c>
      <c r="JO27" s="751">
        <f>[1]Субсидия_факт!ES25</f>
        <v>0</v>
      </c>
      <c r="JP27" s="750">
        <f t="shared" si="58"/>
        <v>36331.519999999997</v>
      </c>
      <c r="JQ27" s="610"/>
      <c r="JR27" s="673"/>
      <c r="JS27" s="513">
        <f>JJ27</f>
        <v>32608.689999999995</v>
      </c>
      <c r="JT27" s="788">
        <f>JK27</f>
        <v>3722.83</v>
      </c>
      <c r="JU27" s="513"/>
      <c r="JV27" s="885"/>
      <c r="JW27" s="610"/>
      <c r="JX27" s="673"/>
      <c r="JY27" s="454">
        <f t="shared" si="161"/>
        <v>217157100</v>
      </c>
      <c r="JZ27" s="511">
        <f>[1]Субсидия_факт!BC25</f>
        <v>60804000</v>
      </c>
      <c r="KA27" s="890">
        <f>[1]Субсидия_факт!BE25</f>
        <v>156353100</v>
      </c>
      <c r="KB27" s="511">
        <f>[1]Субсидия_факт!BG25</f>
        <v>0</v>
      </c>
      <c r="KC27" s="890">
        <f>[1]Субсидия_факт!BI25</f>
        <v>0</v>
      </c>
      <c r="KD27" s="454">
        <f t="shared" si="162"/>
        <v>157170015.63</v>
      </c>
      <c r="KE27" s="610">
        <v>44007601.18</v>
      </c>
      <c r="KF27" s="673">
        <f>157170015.63-KE27</f>
        <v>113162414.44999999</v>
      </c>
      <c r="KG27" s="610"/>
      <c r="KH27" s="673"/>
      <c r="KI27" s="524">
        <f t="shared" si="59"/>
        <v>426288.33</v>
      </c>
      <c r="KJ27" s="511">
        <f>[1]Субсидия_факт!HO25</f>
        <v>426288.33</v>
      </c>
      <c r="KK27" s="523">
        <f>[1]Субсидия_факт!HQ25</f>
        <v>0</v>
      </c>
      <c r="KL27" s="686">
        <f>[1]Субсидия_факт!HS25</f>
        <v>0</v>
      </c>
      <c r="KM27" s="636">
        <f>[1]Субсидия_факт!IC25</f>
        <v>0</v>
      </c>
      <c r="KN27" s="686">
        <f>[1]Субсидия_факт!IE25</f>
        <v>0</v>
      </c>
      <c r="KO27" s="487">
        <f t="shared" si="163"/>
        <v>426288.33</v>
      </c>
      <c r="KP27" s="756">
        <f t="shared" si="164"/>
        <v>426288.33</v>
      </c>
      <c r="KQ27" s="333"/>
      <c r="KR27" s="682"/>
      <c r="KS27" s="462"/>
      <c r="KT27" s="682"/>
      <c r="KU27" s="454">
        <f t="shared" si="60"/>
        <v>0</v>
      </c>
      <c r="KV27" s="513">
        <f>[1]Субсидия_факт!HY25</f>
        <v>0</v>
      </c>
      <c r="KW27" s="513">
        <f>[1]Субсидия_факт!HU25</f>
        <v>0</v>
      </c>
      <c r="KX27" s="751">
        <f>[1]Субсидия_факт!HW25</f>
        <v>0</v>
      </c>
      <c r="KY27" s="454">
        <f t="shared" si="61"/>
        <v>0</v>
      </c>
      <c r="KZ27" s="756">
        <f t="shared" si="165"/>
        <v>0</v>
      </c>
      <c r="LA27" s="610"/>
      <c r="LB27" s="673"/>
      <c r="LC27" s="886">
        <f t="shared" si="62"/>
        <v>0</v>
      </c>
      <c r="LD27" s="886">
        <f t="shared" si="63"/>
        <v>0</v>
      </c>
      <c r="LE27" s="657">
        <f t="shared" si="64"/>
        <v>0</v>
      </c>
      <c r="LF27" s="1038">
        <f t="shared" si="65"/>
        <v>0</v>
      </c>
      <c r="LG27" s="753">
        <f t="shared" si="166"/>
        <v>0</v>
      </c>
      <c r="LH27" s="511">
        <f>[1]Субсидия_факт!OG25</f>
        <v>0</v>
      </c>
      <c r="LI27" s="890">
        <f>[1]Субсидия_факт!OM25</f>
        <v>0</v>
      </c>
      <c r="LJ27" s="511">
        <f>[1]Субсидия_факт!OS25</f>
        <v>0</v>
      </c>
      <c r="LK27" s="890">
        <f>[1]Субсидия_факт!OY25</f>
        <v>0</v>
      </c>
      <c r="LL27" s="756">
        <f>[1]Субсидия_факт!PE25</f>
        <v>0</v>
      </c>
      <c r="LM27" s="768">
        <f>[1]Субсидия_факт!PI25</f>
        <v>0</v>
      </c>
      <c r="LN27" s="753">
        <f t="shared" si="66"/>
        <v>0</v>
      </c>
      <c r="LO27" s="777"/>
      <c r="LP27" s="673"/>
      <c r="LQ27" s="610"/>
      <c r="LR27" s="776"/>
      <c r="LS27" s="610"/>
      <c r="LT27" s="776"/>
      <c r="LU27" s="753">
        <f t="shared" si="67"/>
        <v>5500000</v>
      </c>
      <c r="LV27" s="511">
        <f>[1]Субсидия_факт!OI25</f>
        <v>275000</v>
      </c>
      <c r="LW27" s="890">
        <f>[1]Субсидия_факт!OO25</f>
        <v>5225000</v>
      </c>
      <c r="LX27" s="513">
        <f>[1]Субсидия_факт!OU25</f>
        <v>0</v>
      </c>
      <c r="LY27" s="751">
        <f>[1]Субсидия_факт!PA25</f>
        <v>0</v>
      </c>
      <c r="LZ27" s="754">
        <f t="shared" si="68"/>
        <v>0</v>
      </c>
      <c r="MA27" s="610"/>
      <c r="MB27" s="776"/>
      <c r="MC27" s="610"/>
      <c r="MD27" s="673"/>
      <c r="ME27" s="652">
        <f t="shared" si="69"/>
        <v>0</v>
      </c>
      <c r="MF27" s="642">
        <f>'Проверочная  таблица'!LV27-MP27</f>
        <v>0</v>
      </c>
      <c r="MG27" s="678">
        <f>'Проверочная  таблица'!LW27-MQ27</f>
        <v>0</v>
      </c>
      <c r="MH27" s="765">
        <f>'Проверочная  таблица'!LY27-MR27</f>
        <v>0</v>
      </c>
      <c r="MI27" s="607">
        <f>'Проверочная  таблица'!LX27-MS27</f>
        <v>0</v>
      </c>
      <c r="MJ27" s="755">
        <f t="shared" si="70"/>
        <v>0</v>
      </c>
      <c r="MK27" s="749">
        <f>'Проверочная  таблица'!MA27-MU27</f>
        <v>0</v>
      </c>
      <c r="ML27" s="671">
        <f>'Проверочная  таблица'!MB27-MV27</f>
        <v>0</v>
      </c>
      <c r="MM27" s="768">
        <f>'Проверочная  таблица'!MD27-MW27</f>
        <v>0</v>
      </c>
      <c r="MN27" s="756">
        <f>'Проверочная  таблица'!MC27-MX27</f>
        <v>0</v>
      </c>
      <c r="MO27" s="779">
        <f t="shared" si="71"/>
        <v>5500000</v>
      </c>
      <c r="MP27" s="511">
        <f>[1]Субсидия_факт!OK25</f>
        <v>275000</v>
      </c>
      <c r="MQ27" s="890">
        <f>[1]Субсидия_факт!OQ25</f>
        <v>5225000</v>
      </c>
      <c r="MR27" s="890">
        <f>[1]Субсидия_факт!PC25</f>
        <v>0</v>
      </c>
      <c r="MS27" s="511">
        <f>[1]Субсидия_факт!OW25</f>
        <v>0</v>
      </c>
      <c r="MT27" s="755">
        <f t="shared" si="72"/>
        <v>0</v>
      </c>
      <c r="MU27" s="749">
        <f t="shared" si="167"/>
        <v>0</v>
      </c>
      <c r="MV27" s="671">
        <f t="shared" si="168"/>
        <v>0</v>
      </c>
      <c r="MW27" s="768">
        <f t="shared" si="169"/>
        <v>0</v>
      </c>
      <c r="MX27" s="756">
        <f t="shared" si="73"/>
        <v>0</v>
      </c>
      <c r="MY27" s="524">
        <f>SUM('Проверочная  таблица'!MZ27:MZ27)</f>
        <v>0</v>
      </c>
      <c r="MZ27" s="333"/>
      <c r="NA27" s="524">
        <f>SUM('Проверочная  таблица'!NB27:NB27)</f>
        <v>0</v>
      </c>
      <c r="NB27" s="462"/>
      <c r="NC27" s="524">
        <f t="shared" si="74"/>
        <v>0</v>
      </c>
      <c r="ND27" s="452">
        <f>[1]Субсидия_факт!IU25</f>
        <v>0</v>
      </c>
      <c r="NE27" s="686">
        <f>[1]Субсидия_факт!IY25</f>
        <v>0</v>
      </c>
      <c r="NF27" s="517">
        <f t="shared" si="75"/>
        <v>0</v>
      </c>
      <c r="NG27" s="529"/>
      <c r="NH27" s="774"/>
      <c r="NI27" s="570">
        <f t="shared" si="76"/>
        <v>0</v>
      </c>
      <c r="NJ27" s="1000">
        <f>'Проверочная  таблица'!ND27-NP27</f>
        <v>0</v>
      </c>
      <c r="NK27" s="678">
        <f>'Проверочная  таблица'!NE27-NQ27</f>
        <v>0</v>
      </c>
      <c r="NL27" s="570">
        <f t="shared" si="77"/>
        <v>0</v>
      </c>
      <c r="NM27" s="476">
        <f>'Проверочная  таблица'!NG27-NS27</f>
        <v>0</v>
      </c>
      <c r="NN27" s="678">
        <f>'Проверочная  таблица'!NH27-NT27</f>
        <v>0</v>
      </c>
      <c r="NO27" s="633">
        <f t="shared" si="78"/>
        <v>0</v>
      </c>
      <c r="NP27" s="452">
        <f>[1]Субсидия_факт!IW25</f>
        <v>0</v>
      </c>
      <c r="NQ27" s="686">
        <f>[1]Субсидия_факт!JA25</f>
        <v>0</v>
      </c>
      <c r="NR27" s="570">
        <f t="shared" si="79"/>
        <v>0</v>
      </c>
      <c r="NS27" s="476"/>
      <c r="NT27" s="710"/>
      <c r="NU27" s="517">
        <f t="shared" si="170"/>
        <v>0</v>
      </c>
      <c r="NV27" s="332">
        <f>[1]Субсидия_факт!FA25</f>
        <v>0</v>
      </c>
      <c r="NW27" s="786">
        <f>[1]Субсидия_факт!FC25</f>
        <v>0</v>
      </c>
      <c r="NX27" s="517">
        <f t="shared" si="171"/>
        <v>0</v>
      </c>
      <c r="NY27" s="462"/>
      <c r="NZ27" s="682"/>
      <c r="OA27" s="517">
        <f t="shared" si="172"/>
        <v>0</v>
      </c>
      <c r="OD27" s="517">
        <f t="shared" si="173"/>
        <v>0</v>
      </c>
      <c r="OG27" s="526">
        <f t="shared" si="174"/>
        <v>0</v>
      </c>
      <c r="OJ27" s="526">
        <f t="shared" si="175"/>
        <v>0</v>
      </c>
      <c r="OM27" s="526">
        <f t="shared" si="176"/>
        <v>0</v>
      </c>
      <c r="OP27" s="526">
        <f t="shared" si="177"/>
        <v>0</v>
      </c>
      <c r="OS27" s="524">
        <f t="shared" si="80"/>
        <v>0</v>
      </c>
      <c r="OT27" s="498">
        <f>[1]Субсидия_факт!JO25</f>
        <v>0</v>
      </c>
      <c r="OU27" s="786">
        <f>[1]Субсидия_факт!JQ25</f>
        <v>0</v>
      </c>
      <c r="OV27" s="332">
        <f>[1]Субсидия_факт!KS25</f>
        <v>0</v>
      </c>
      <c r="OW27" s="686">
        <f>[1]Субсидия_факт!KY25</f>
        <v>0</v>
      </c>
      <c r="OX27" s="498">
        <f>[1]Субсидия_факт!KG25</f>
        <v>0</v>
      </c>
      <c r="OY27" s="786">
        <f>[1]Субсидия_факт!KM25</f>
        <v>0</v>
      </c>
      <c r="OZ27" s="517">
        <f t="shared" si="81"/>
        <v>0</v>
      </c>
      <c r="PA27" s="462"/>
      <c r="PB27" s="682"/>
      <c r="PC27" s="333"/>
      <c r="PD27" s="704"/>
      <c r="PE27" s="462"/>
      <c r="PF27" s="794"/>
      <c r="PG27" s="524">
        <f t="shared" si="82"/>
        <v>0</v>
      </c>
      <c r="PH27" s="498">
        <f>[1]Субсидия_факт!JC25</f>
        <v>0</v>
      </c>
      <c r="PI27" s="931">
        <f>[1]Субсидия_факт!JG25</f>
        <v>0</v>
      </c>
      <c r="PJ27" s="476">
        <f>[1]Субсидия_факт!JS25</f>
        <v>0</v>
      </c>
      <c r="PK27" s="678">
        <f>[1]Субсидия_факт!JW25</f>
        <v>0</v>
      </c>
      <c r="PL27" s="498">
        <f>[1]Субсидия_факт!KU25</f>
        <v>0</v>
      </c>
      <c r="PM27" s="791">
        <f>[1]Субсидия_факт!LA25</f>
        <v>0</v>
      </c>
      <c r="PN27" s="498">
        <f>[1]Субсидия_факт!KI25</f>
        <v>0</v>
      </c>
      <c r="PO27" s="686">
        <f>[1]Субсидия_факт!KO25</f>
        <v>0</v>
      </c>
      <c r="PP27" s="517">
        <f t="shared" si="83"/>
        <v>0</v>
      </c>
      <c r="PQ27" s="529"/>
      <c r="PR27" s="771"/>
      <c r="PS27" s="462"/>
      <c r="PT27" s="682"/>
      <c r="PU27" s="529"/>
      <c r="PV27" s="774"/>
      <c r="PW27" s="529"/>
      <c r="PX27" s="682"/>
      <c r="PY27" s="570">
        <f t="shared" si="84"/>
        <v>0</v>
      </c>
      <c r="PZ27" s="452">
        <f t="shared" si="85"/>
        <v>0</v>
      </c>
      <c r="QA27" s="686">
        <f t="shared" si="86"/>
        <v>0</v>
      </c>
      <c r="QB27" s="430">
        <f t="shared" si="87"/>
        <v>0</v>
      </c>
      <c r="QC27" s="686">
        <f t="shared" si="88"/>
        <v>0</v>
      </c>
      <c r="QD27" s="332">
        <f t="shared" si="89"/>
        <v>0</v>
      </c>
      <c r="QE27" s="686">
        <f t="shared" si="90"/>
        <v>0</v>
      </c>
      <c r="QF27" s="430">
        <f t="shared" si="91"/>
        <v>0</v>
      </c>
      <c r="QG27" s="686">
        <f t="shared" si="92"/>
        <v>0</v>
      </c>
      <c r="QH27" s="633">
        <f t="shared" si="93"/>
        <v>0</v>
      </c>
      <c r="QI27" s="452">
        <f t="shared" si="94"/>
        <v>0</v>
      </c>
      <c r="QJ27" s="686">
        <f t="shared" si="95"/>
        <v>0</v>
      </c>
      <c r="QK27" s="430">
        <f t="shared" si="96"/>
        <v>0</v>
      </c>
      <c r="QL27" s="686">
        <f t="shared" si="97"/>
        <v>0</v>
      </c>
      <c r="QM27" s="332">
        <f t="shared" si="98"/>
        <v>0</v>
      </c>
      <c r="QN27" s="786">
        <f t="shared" si="99"/>
        <v>0</v>
      </c>
      <c r="QO27" s="332">
        <f t="shared" si="100"/>
        <v>0</v>
      </c>
      <c r="QP27" s="686">
        <f t="shared" si="101"/>
        <v>0</v>
      </c>
      <c r="QQ27" s="570">
        <f t="shared" si="102"/>
        <v>0</v>
      </c>
      <c r="QR27" s="430">
        <f>[1]Субсидия_факт!JE25</f>
        <v>0</v>
      </c>
      <c r="QS27" s="931">
        <f>[1]Субсидия_факт!JI25</f>
        <v>0</v>
      </c>
      <c r="QT27" s="607">
        <f>[1]Субсидия_факт!JU25</f>
        <v>0</v>
      </c>
      <c r="QU27" s="678">
        <f>[1]Субсидия_факт!JY25</f>
        <v>0</v>
      </c>
      <c r="QV27" s="332">
        <f>[1]Субсидия_факт!KW25</f>
        <v>0</v>
      </c>
      <c r="QW27" s="791">
        <f>[1]Субсидия_факт!LC25</f>
        <v>0</v>
      </c>
      <c r="QX27" s="332">
        <f>[1]Субсидия_факт!KK25</f>
        <v>0</v>
      </c>
      <c r="QY27" s="686">
        <f>[1]Субсидия_факт!KQ25</f>
        <v>0</v>
      </c>
      <c r="QZ27" s="570">
        <f t="shared" si="103"/>
        <v>0</v>
      </c>
      <c r="RA27" s="530"/>
      <c r="RB27" s="678"/>
      <c r="RC27" s="462"/>
      <c r="RD27" s="682"/>
      <c r="RE27" s="530"/>
      <c r="RF27" s="794"/>
      <c r="RG27" s="529"/>
      <c r="RH27" s="765"/>
      <c r="RI27" s="487">
        <f>[1]Субсидия_факт!PW25</f>
        <v>45220426.230000004</v>
      </c>
      <c r="RJ27" s="1240">
        <f t="shared" si="178"/>
        <v>45220426.230000004</v>
      </c>
      <c r="RK27" s="522">
        <f>'Прочая  субсидия_МР  и  ГО'!B23</f>
        <v>47208731.710000008</v>
      </c>
      <c r="RL27" s="517">
        <f>'Прочая  субсидия_МР  и  ГО'!C23</f>
        <v>45682493.359999999</v>
      </c>
      <c r="RM27" s="522">
        <f>'Прочая  субсидия_БП'!B23</f>
        <v>83227002.460000008</v>
      </c>
      <c r="RN27" s="524">
        <f>'Прочая  субсидия_БП'!C23</f>
        <v>51946638.460000001</v>
      </c>
      <c r="RO27" s="565">
        <f>'Прочая  субсидия_БП'!D23</f>
        <v>30242895.010000002</v>
      </c>
      <c r="RP27" s="564">
        <f>'Прочая  субсидия_БП'!E23</f>
        <v>11612570.01</v>
      </c>
      <c r="RQ27" s="571">
        <f>'Прочая  субсидия_БП'!F23</f>
        <v>52984107.450000003</v>
      </c>
      <c r="RR27" s="564">
        <f>'Прочая  субсидия_БП'!G23</f>
        <v>40334068.450000003</v>
      </c>
      <c r="RS27" s="487">
        <f t="shared" si="104"/>
        <v>427785198</v>
      </c>
      <c r="RT27" s="452">
        <f>'Проверочная  таблица'!SR27+'Проверочная  таблица'!RY27+'Проверочная  таблица'!SA27+'Проверочная  таблица'!SC27</f>
        <v>419437631</v>
      </c>
      <c r="RU27" s="332">
        <f>'Проверочная  таблица'!SS27+'Проверочная  таблица'!SE27+'Проверочная  таблица'!SK27+'Проверочная  таблица'!SG27+'Проверочная  таблица'!SO27+'Проверочная  таблица'!SI27+SM27</f>
        <v>8347567</v>
      </c>
      <c r="RV27" s="517">
        <f t="shared" si="105"/>
        <v>343432733.51999998</v>
      </c>
      <c r="RW27" s="430">
        <f>'Проверочная  таблица'!SU27+'Проверочная  таблица'!RZ27+'Проверочная  таблица'!SB27+'Проверочная  таблица'!SD27</f>
        <v>339379341.75999999</v>
      </c>
      <c r="RX27" s="332">
        <f>'Проверочная  таблица'!SV27+'Проверочная  таблица'!SF27+'Проверочная  таблица'!SL27+'Проверочная  таблица'!SH27+'Проверочная  таблица'!SP27+'Проверочная  таблица'!SJ27+SN27</f>
        <v>4053391.76</v>
      </c>
      <c r="RY27" s="559">
        <f>'Субвенция  на  полномочия'!B23</f>
        <v>393822631</v>
      </c>
      <c r="RZ27" s="454">
        <f>'Субвенция  на  полномочия'!C23</f>
        <v>319344541.75999999</v>
      </c>
      <c r="SA27" s="732">
        <f>[1]Субвенция_факт!P24*1000</f>
        <v>17486000</v>
      </c>
      <c r="SB27" s="1389">
        <v>13114800</v>
      </c>
      <c r="SC27" s="732">
        <f>[1]Субвенция_факт!K24*1000</f>
        <v>6909000</v>
      </c>
      <c r="SD27" s="1389">
        <v>5700000</v>
      </c>
      <c r="SE27" s="732">
        <f>[1]Субвенция_факт!AD24*1000</f>
        <v>2343100</v>
      </c>
      <c r="SF27" s="735">
        <v>1757325</v>
      </c>
      <c r="SG27" s="732">
        <f>[1]Субвенция_факт!AE24*1000</f>
        <v>6000</v>
      </c>
      <c r="SH27" s="735">
        <v>4934.5</v>
      </c>
      <c r="SI27" s="732">
        <f>[1]Субвенция_факт!E24*1000</f>
        <v>2506545</v>
      </c>
      <c r="SJ27" s="735"/>
      <c r="SK27" s="732">
        <f>[1]Субвенция_факт!F24*1000</f>
        <v>0</v>
      </c>
      <c r="SL27" s="866"/>
      <c r="SM27" s="163">
        <f>[1]Субвенция_факт!G24*1000</f>
        <v>0</v>
      </c>
      <c r="SN27" s="867"/>
      <c r="SO27" s="732">
        <f>[1]Субвенция_факт!H24*1000</f>
        <v>0</v>
      </c>
      <c r="SP27" s="735"/>
      <c r="SQ27" s="524">
        <f t="shared" si="106"/>
        <v>4711922</v>
      </c>
      <c r="SR27" s="865">
        <f>[1]Субвенция_факт!AC24*1000</f>
        <v>1220000</v>
      </c>
      <c r="SS27" s="1040">
        <f>[1]Субвенция_факт!AB24*1000</f>
        <v>3491922</v>
      </c>
      <c r="ST27" s="517">
        <f t="shared" si="107"/>
        <v>3511132.26</v>
      </c>
      <c r="SU27" s="1503">
        <v>1220000</v>
      </c>
      <c r="SV27" s="1506">
        <v>2291132.2599999998</v>
      </c>
      <c r="SW27" s="1464">
        <f>'Проверочная  таблица'!VC27+'Проверочная  таблица'!UY27+'Проверочная  таблица'!TQ27+'Проверочная  таблица'!TU27+SY27+'Проверочная  таблица'!US27+UC27+UI27</f>
        <v>0</v>
      </c>
      <c r="SX27" s="1465">
        <f>'Проверочная  таблица'!VE27+'Проверочная  таблица'!VA27+'Проверочная  таблица'!TS27+'Проверочная  таблица'!TW27+TH27+'Проверочная  таблица'!UV27+UF27+UL27</f>
        <v>0</v>
      </c>
      <c r="SY27" s="1129">
        <f t="shared" si="108"/>
        <v>0</v>
      </c>
      <c r="SZ27" s="1114">
        <f>'[1]Иные межбюджетные трансферты'!O25</f>
        <v>0</v>
      </c>
      <c r="TA27" s="1111">
        <f>'[1]Иные межбюджетные трансферты'!Q25</f>
        <v>0</v>
      </c>
      <c r="TB27" s="879">
        <f>'[1]Иные межбюджетные трансферты'!I25</f>
        <v>0</v>
      </c>
      <c r="TC27" s="1111">
        <f>'[1]Иные межбюджетные трансферты'!K25</f>
        <v>0</v>
      </c>
      <c r="TD27" s="879">
        <f>'[1]Иные межбюджетные трансферты'!S25</f>
        <v>0</v>
      </c>
      <c r="TE27" s="958">
        <f>'[1]Иные межбюджетные трансферты'!U25</f>
        <v>0</v>
      </c>
      <c r="TF27" s="1236">
        <f>'[1]Иные межбюджетные трансферты'!M25</f>
        <v>0</v>
      </c>
      <c r="TG27" s="1231">
        <f>'[1]Иные межбюджетные трансферты'!W25</f>
        <v>0</v>
      </c>
      <c r="TH27" s="991">
        <f t="shared" si="109"/>
        <v>0</v>
      </c>
      <c r="TI27" s="984"/>
      <c r="TJ27" s="982"/>
      <c r="TK27" s="879"/>
      <c r="TL27" s="958"/>
      <c r="TM27" s="879"/>
      <c r="TN27" s="958"/>
      <c r="TO27" s="984"/>
      <c r="TP27" s="1269"/>
      <c r="TQ27" s="973">
        <f t="shared" si="179"/>
        <v>0</v>
      </c>
      <c r="TR27" s="1458">
        <f>'[1]Иные межбюджетные трансферты'!Y25</f>
        <v>0</v>
      </c>
      <c r="TS27" s="973">
        <f t="shared" si="179"/>
        <v>0</v>
      </c>
      <c r="TT27" s="958"/>
      <c r="TU27" s="973">
        <f t="shared" ref="TU27" si="207">TV27</f>
        <v>0</v>
      </c>
      <c r="TV27" s="958">
        <f>'[1]Иные межбюджетные трансферты'!AA25</f>
        <v>0</v>
      </c>
      <c r="TW27" s="973">
        <f t="shared" si="110"/>
        <v>0</v>
      </c>
      <c r="TX27" s="1111"/>
      <c r="TY27" s="976">
        <f t="shared" si="111"/>
        <v>0</v>
      </c>
      <c r="TZ27" s="970">
        <f t="shared" si="112"/>
        <v>0</v>
      </c>
      <c r="UA27" s="1266">
        <f t="shared" si="181"/>
        <v>0</v>
      </c>
      <c r="UB27" s="976">
        <f t="shared" si="182"/>
        <v>0</v>
      </c>
      <c r="UC27" s="973">
        <f t="shared" si="113"/>
        <v>0</v>
      </c>
      <c r="UD27" s="1272">
        <f>'[1]Иные межбюджетные трансферты'!AE25</f>
        <v>0</v>
      </c>
      <c r="UE27" s="1145">
        <f>'[1]Иные межбюджетные трансферты'!AK25</f>
        <v>0</v>
      </c>
      <c r="UF27" s="973">
        <f t="shared" si="114"/>
        <v>0</v>
      </c>
      <c r="UG27" s="958"/>
      <c r="UH27" s="958"/>
      <c r="UI27" s="973">
        <f t="shared" si="115"/>
        <v>0</v>
      </c>
      <c r="UJ27" s="1272">
        <f>'[1]Иные межбюджетные трансферты'!AG25</f>
        <v>0</v>
      </c>
      <c r="UK27" s="1145">
        <f>'[1]Иные межбюджетные трансферты'!AM25</f>
        <v>0</v>
      </c>
      <c r="UL27" s="973">
        <f t="shared" si="116"/>
        <v>0</v>
      </c>
      <c r="UM27" s="958"/>
      <c r="UN27" s="1111"/>
      <c r="UO27" s="976">
        <f t="shared" si="183"/>
        <v>0</v>
      </c>
      <c r="UP27" s="970">
        <f t="shared" si="184"/>
        <v>0</v>
      </c>
      <c r="UQ27" s="970">
        <f t="shared" si="185"/>
        <v>0</v>
      </c>
      <c r="UR27" s="1462">
        <f t="shared" si="186"/>
        <v>0</v>
      </c>
      <c r="US27" s="1263">
        <f t="shared" si="117"/>
        <v>0</v>
      </c>
      <c r="UT27" s="1040">
        <f>'[1]Иные межбюджетные трансферты'!E25</f>
        <v>0</v>
      </c>
      <c r="UU27" s="1126">
        <f>'[1]Иные межбюджетные трансферты'!G25</f>
        <v>0</v>
      </c>
      <c r="UV27" s="733">
        <f t="shared" si="118"/>
        <v>0</v>
      </c>
      <c r="UW27" s="1040"/>
      <c r="UX27" s="1126"/>
      <c r="UY27" s="880">
        <f t="shared" si="119"/>
        <v>0</v>
      </c>
      <c r="UZ27" s="958"/>
      <c r="VA27" s="1039">
        <f t="shared" si="120"/>
        <v>0</v>
      </c>
      <c r="VB27" s="890"/>
      <c r="VC27" s="510">
        <f t="shared" si="121"/>
        <v>0</v>
      </c>
      <c r="VD27" s="874">
        <f>'[1]Иные межбюджетные трансферты'!AS25</f>
        <v>0</v>
      </c>
      <c r="VE27" s="510">
        <f t="shared" si="122"/>
        <v>0</v>
      </c>
      <c r="VF27" s="513"/>
      <c r="VG27" s="886">
        <f t="shared" si="123"/>
        <v>0</v>
      </c>
      <c r="VH27" s="511">
        <f>'Проверочная  таблица'!VD27-VL27</f>
        <v>0</v>
      </c>
      <c r="VI27" s="886">
        <f t="shared" si="124"/>
        <v>0</v>
      </c>
      <c r="VJ27" s="511">
        <f>'Проверочная  таблица'!VF27-VN27</f>
        <v>0</v>
      </c>
      <c r="VK27" s="886">
        <f t="shared" si="125"/>
        <v>0</v>
      </c>
      <c r="VL27" s="874">
        <f>'[1]Иные межбюджетные трансферты'!AU25</f>
        <v>0</v>
      </c>
      <c r="VM27" s="1038">
        <f t="shared" si="126"/>
        <v>0</v>
      </c>
      <c r="VN27" s="513"/>
      <c r="VO27" s="517">
        <f>VQ27+'Проверочная  таблица'!VY27+VU27+'Проверочная  таблица'!WC27+VW27+'Проверочная  таблица'!WE27</f>
        <v>-14380000</v>
      </c>
      <c r="VP27" s="517">
        <f>VR27+'Проверочная  таблица'!VZ27+VV27+'Проверочная  таблица'!WD27+VX27+'Проверочная  таблица'!WF27</f>
        <v>-6622000</v>
      </c>
      <c r="VQ27" s="531">
        <v>18900000</v>
      </c>
      <c r="VR27" s="531">
        <v>18900000</v>
      </c>
      <c r="VS27" s="531">
        <v>4200000</v>
      </c>
      <c r="VT27" s="531">
        <v>1628000</v>
      </c>
      <c r="VU27" s="528">
        <f t="shared" si="127"/>
        <v>700000</v>
      </c>
      <c r="VV27" s="526">
        <f t="shared" si="128"/>
        <v>232000</v>
      </c>
      <c r="VW27" s="532">
        <v>3500000</v>
      </c>
      <c r="VX27" s="521">
        <v>1396000</v>
      </c>
      <c r="VY27" s="531">
        <v>-29600000</v>
      </c>
      <c r="VZ27" s="531">
        <v>-23050000</v>
      </c>
      <c r="WA27" s="531">
        <f>-200000-100000-250000-180000-250000-600000-100000-5500000-700000</f>
        <v>-7880000</v>
      </c>
      <c r="WB27" s="531">
        <f>-600000-3500000</f>
        <v>-4100000</v>
      </c>
      <c r="WC27" s="528">
        <f t="shared" si="129"/>
        <v>-2380000</v>
      </c>
      <c r="WD27" s="526">
        <f t="shared" si="130"/>
        <v>-600000</v>
      </c>
      <c r="WE27" s="521">
        <v>-5500000</v>
      </c>
      <c r="WF27" s="521">
        <v>-3500000</v>
      </c>
      <c r="WG27" s="1356">
        <f>'Проверочная  таблица'!VY27+'Проверочная  таблица'!WA27</f>
        <v>-37480000</v>
      </c>
      <c r="WH27" s="1356">
        <f>'Проверочная  таблица'!VZ27+'Проверочная  таблица'!WB27</f>
        <v>-27150000</v>
      </c>
      <c r="WI27" s="1481"/>
    </row>
    <row r="28" spans="1:607" s="329" customFormat="1" ht="25.5" customHeight="1" x14ac:dyDescent="0.3">
      <c r="A28" s="338" t="s">
        <v>104</v>
      </c>
      <c r="B28" s="524">
        <f>D28+AI28+'Проверочная  таблица'!RS28+'Проверочная  таблица'!SW28</f>
        <v>505221875.09000003</v>
      </c>
      <c r="C28" s="517">
        <f>E28+'Проверочная  таблица'!RV28+AJ28+'Проверочная  таблица'!SX28</f>
        <v>407344678.66999996</v>
      </c>
      <c r="D28" s="522">
        <f t="shared" si="0"/>
        <v>79135647</v>
      </c>
      <c r="E28" s="524">
        <f t="shared" si="1"/>
        <v>64888250</v>
      </c>
      <c r="F28" s="1062">
        <f>'[1]Дотация  из  ОБ_факт'!I24+'[1]Дотация  из  ОБ_факт'!Q24</f>
        <v>32300900</v>
      </c>
      <c r="G28" s="1366">
        <v>27913300</v>
      </c>
      <c r="H28" s="563">
        <f>'[1]Дотация  из  ОБ_факт'!K24</f>
        <v>26291500</v>
      </c>
      <c r="I28" s="1366">
        <v>21007250</v>
      </c>
      <c r="J28" s="564">
        <f t="shared" si="2"/>
        <v>26291500</v>
      </c>
      <c r="K28" s="571">
        <f>I28-M28</f>
        <v>21007250</v>
      </c>
      <c r="L28" s="883">
        <f>'[1]Дотация  из  ОБ_факт'!O24</f>
        <v>0</v>
      </c>
      <c r="M28" s="1364"/>
      <c r="N28" s="563">
        <f>'[1]Дотация  из  ОБ_факт'!U24</f>
        <v>7257947</v>
      </c>
      <c r="O28" s="1366">
        <v>4848500</v>
      </c>
      <c r="P28" s="784">
        <f>'[1]Дотация  из  ОБ_факт'!W24</f>
        <v>11785300</v>
      </c>
      <c r="Q28" s="1366">
        <v>9619200</v>
      </c>
      <c r="R28" s="571">
        <f t="shared" si="4"/>
        <v>11785300</v>
      </c>
      <c r="S28" s="564">
        <f t="shared" si="5"/>
        <v>9619200</v>
      </c>
      <c r="T28" s="1059">
        <f>'[1]Дотация  из  ОБ_факт'!AA24</f>
        <v>0</v>
      </c>
      <c r="U28" s="1366"/>
      <c r="V28" s="784">
        <f>'[1]Дотация  из  ОБ_факт'!AE24+'[1]Дотация  из  ОБ_факт'!AG24+'[1]Дотация  из  ОБ_факт'!AK24</f>
        <v>1500000</v>
      </c>
      <c r="W28" s="163">
        <f t="shared" si="6"/>
        <v>1500000</v>
      </c>
      <c r="X28" s="1364">
        <v>1500000</v>
      </c>
      <c r="Y28" s="566"/>
      <c r="Z28" s="567"/>
      <c r="AA28" s="563">
        <f>'[1]Дотация  из  ОБ_факт'!AC24+'[1]Дотация  из  ОБ_факт'!AI24</f>
        <v>0</v>
      </c>
      <c r="AB28" s="165">
        <f t="shared" si="7"/>
        <v>0</v>
      </c>
      <c r="AC28" s="566"/>
      <c r="AD28" s="567"/>
      <c r="AE28" s="564">
        <f t="shared" si="8"/>
        <v>0</v>
      </c>
      <c r="AF28" s="571">
        <f t="shared" si="9"/>
        <v>0</v>
      </c>
      <c r="AG28" s="565">
        <f>'[1]Дотация  из  ОБ_факт'!AI24</f>
        <v>0</v>
      </c>
      <c r="AH28" s="1370">
        <f t="shared" si="131"/>
        <v>0</v>
      </c>
      <c r="AI28" s="559">
        <f>'Проверочная  таблица'!KI28+NU28+OA28+'Проверочная  таблица'!RK28+'Проверочная  таблица'!RM28+DE28+DG28+DM28+DO28+'Проверочная  таблица'!MY28+'Проверочная  таблица'!NC28+CG28+CQ28+'Проверочная  таблица'!HE28+'Проверочная  таблица'!HW28+'Проверочная  таблица'!ES28+'Проверочная  таблица'!JY28+DU28+'Проверочная  таблица'!GA28+'Проверочная  таблица'!GG28+'Проверочная  таблица'!LG28+'Проверочная  таблица'!LU28+FU28+'Проверочная  таблица'!KU28+RI28+OS28+PG28+EK28+AK28+AW28+FO28+FE28+GY28+EY28</f>
        <v>213339805.09</v>
      </c>
      <c r="AJ28" s="487">
        <f>'Проверочная  таблица'!KO28+NX28+OD28+'Проверочная  таблица'!RL28+'Проверочная  таблица'!RN28+DF28+DH28+DN28+DP28+'Проверочная  таблица'!NA28+'Проверочная  таблица'!NF28+CL28+CV28+'Проверочная  таблица'!HN28+'Проверочная  таблица'!IF28+'Проверочная  таблица'!EV28+'Проверочная  таблица'!KD28+EC28+'Проверочная  таблица'!GD28+'Проверочная  таблица'!GJ28+'Проверочная  таблица'!LN28+'Проверочная  таблица'!LZ28+FX28+'Проверочная  таблица'!KY28+FR28+RJ28+PP28+OZ28+EM28+AQ28+BC28+FJ28+HB28+FB28</f>
        <v>162535567.95999998</v>
      </c>
      <c r="AK28" s="487">
        <f t="shared" si="10"/>
        <v>74647287</v>
      </c>
      <c r="AL28" s="332">
        <f>[1]Субсидия_факт!CO26</f>
        <v>0</v>
      </c>
      <c r="AM28" s="523">
        <f>[1]Субсидия_факт!FK26</f>
        <v>74647287</v>
      </c>
      <c r="AN28" s="498">
        <f>[1]Субсидия_факт!FW26</f>
        <v>0</v>
      </c>
      <c r="AO28" s="523">
        <f>[1]Субсидия_факт!KA26</f>
        <v>0</v>
      </c>
      <c r="AP28" s="332">
        <f>[1]Субсидия_факт!LE26</f>
        <v>0</v>
      </c>
      <c r="AQ28" s="487">
        <f t="shared" si="11"/>
        <v>73150280</v>
      </c>
      <c r="AR28" s="462"/>
      <c r="AS28" s="462">
        <v>73150280</v>
      </c>
      <c r="AT28" s="462"/>
      <c r="AU28" s="462"/>
      <c r="AV28" s="462"/>
      <c r="AW28" s="487">
        <f t="shared" si="132"/>
        <v>0</v>
      </c>
      <c r="AX28" s="452">
        <f>[1]Субсидия_факт!CQ26</f>
        <v>0</v>
      </c>
      <c r="AY28" s="332">
        <f>[1]Субсидия_факт!FO26</f>
        <v>0</v>
      </c>
      <c r="AZ28" s="476">
        <f>[1]Субсидия_факт!JK26</f>
        <v>0</v>
      </c>
      <c r="BA28" s="496">
        <f>[1]Субсидия_факт!KC26</f>
        <v>0</v>
      </c>
      <c r="BB28" s="498">
        <f>[1]Субсидия_факт!LG26</f>
        <v>0</v>
      </c>
      <c r="BC28" s="487">
        <f t="shared" si="133"/>
        <v>0</v>
      </c>
      <c r="BD28" s="529"/>
      <c r="BE28" s="529"/>
      <c r="BF28" s="333"/>
      <c r="BG28" s="530"/>
      <c r="BH28" s="529"/>
      <c r="BI28" s="657">
        <f t="shared" si="134"/>
        <v>0</v>
      </c>
      <c r="BJ28" s="1025">
        <f t="shared" si="12"/>
        <v>0</v>
      </c>
      <c r="BK28" s="452">
        <f t="shared" si="13"/>
        <v>0</v>
      </c>
      <c r="BL28" s="452">
        <f t="shared" si="14"/>
        <v>0</v>
      </c>
      <c r="BM28" s="332">
        <f t="shared" si="15"/>
        <v>0</v>
      </c>
      <c r="BN28" s="488">
        <f t="shared" si="16"/>
        <v>0</v>
      </c>
      <c r="BO28" s="657">
        <f t="shared" si="135"/>
        <v>0</v>
      </c>
      <c r="BP28" s="607">
        <f t="shared" si="17"/>
        <v>0</v>
      </c>
      <c r="BQ28" s="496">
        <f t="shared" si="18"/>
        <v>0</v>
      </c>
      <c r="BR28" s="332">
        <f t="shared" si="19"/>
        <v>0</v>
      </c>
      <c r="BS28" s="430">
        <f t="shared" si="20"/>
        <v>0</v>
      </c>
      <c r="BT28" s="332">
        <f t="shared" si="21"/>
        <v>0</v>
      </c>
      <c r="BU28" s="657">
        <f t="shared" si="136"/>
        <v>0</v>
      </c>
      <c r="BV28" s="452">
        <f>[1]Субсидия_факт!CS26</f>
        <v>0</v>
      </c>
      <c r="BW28" s="332">
        <f>[1]Субсидия_факт!FQ26</f>
        <v>0</v>
      </c>
      <c r="BX28" s="476">
        <f>[1]Субсидия_факт!JM26</f>
        <v>0</v>
      </c>
      <c r="BY28" s="430">
        <f>[1]Субсидия_факт!KE26</f>
        <v>0</v>
      </c>
      <c r="BZ28" s="332">
        <f>[1]Субсидия_факт!LI26</f>
        <v>0</v>
      </c>
      <c r="CA28" s="659">
        <f t="shared" si="137"/>
        <v>0</v>
      </c>
      <c r="CB28" s="782"/>
      <c r="CC28" s="529"/>
      <c r="CD28" s="462"/>
      <c r="CE28" s="529"/>
      <c r="CF28" s="529"/>
      <c r="CG28" s="517">
        <f t="shared" si="22"/>
        <v>19781627</v>
      </c>
      <c r="CH28" s="430">
        <f>[1]Субсидия_факт!LM26</f>
        <v>0</v>
      </c>
      <c r="CI28" s="452">
        <f>[1]Субсидия_факт!LS26</f>
        <v>19781627</v>
      </c>
      <c r="CJ28" s="332">
        <f>[1]Субсидия_факт!ME26</f>
        <v>0</v>
      </c>
      <c r="CK28" s="511">
        <f>[1]Субсидия_факт!MK26</f>
        <v>0</v>
      </c>
      <c r="CL28" s="517">
        <f t="shared" si="23"/>
        <v>19781627</v>
      </c>
      <c r="CM28" s="529"/>
      <c r="CN28" s="529">
        <v>19781627</v>
      </c>
      <c r="CO28" s="529"/>
      <c r="CP28" s="610"/>
      <c r="CQ28" s="517">
        <f t="shared" si="24"/>
        <v>0</v>
      </c>
      <c r="CR28" s="452">
        <f>[1]Субсидия_факт!LO26</f>
        <v>0</v>
      </c>
      <c r="CS28" s="452">
        <f>[1]Субсидия_факт!LU26</f>
        <v>0</v>
      </c>
      <c r="CT28" s="332">
        <f>[1]Субсидия_факт!MG26</f>
        <v>0</v>
      </c>
      <c r="CU28" s="511">
        <f>[1]Субсидия_факт!MM26</f>
        <v>0</v>
      </c>
      <c r="CV28" s="517">
        <f t="shared" si="25"/>
        <v>0</v>
      </c>
      <c r="CW28" s="529"/>
      <c r="CX28" s="530"/>
      <c r="CY28" s="782"/>
      <c r="CZ28" s="719"/>
      <c r="DA28" s="528">
        <f t="shared" si="138"/>
        <v>0</v>
      </c>
      <c r="DB28" s="526">
        <f t="shared" si="139"/>
        <v>0</v>
      </c>
      <c r="DC28" s="525">
        <f t="shared" si="140"/>
        <v>0</v>
      </c>
      <c r="DD28" s="528">
        <f t="shared" si="141"/>
        <v>0</v>
      </c>
      <c r="DE28" s="524">
        <f>[1]Субсидия_факт!GC26</f>
        <v>0</v>
      </c>
      <c r="DF28" s="330"/>
      <c r="DG28" s="522">
        <f>[1]Субсидия_факт!GE26</f>
        <v>0</v>
      </c>
      <c r="DH28" s="330"/>
      <c r="DI28" s="757">
        <f t="shared" si="142"/>
        <v>0</v>
      </c>
      <c r="DJ28" s="570">
        <f t="shared" si="143"/>
        <v>0</v>
      </c>
      <c r="DK28" s="757">
        <f>[1]Субсидия_факт!GG26</f>
        <v>0</v>
      </c>
      <c r="DL28" s="1387">
        <f t="shared" si="144"/>
        <v>0</v>
      </c>
      <c r="DM28" s="516">
        <f>[1]Субсидия_факт!GI26</f>
        <v>0</v>
      </c>
      <c r="DN28" s="604"/>
      <c r="DO28" s="517">
        <f>[1]Субсидия_факт!GK26</f>
        <v>0</v>
      </c>
      <c r="DP28" s="604"/>
      <c r="DQ28" s="526">
        <f t="shared" si="28"/>
        <v>0</v>
      </c>
      <c r="DR28" s="526">
        <f t="shared" si="29"/>
        <v>0</v>
      </c>
      <c r="DS28" s="653">
        <f t="shared" si="30"/>
        <v>0</v>
      </c>
      <c r="DT28" s="1385">
        <f t="shared" si="145"/>
        <v>0</v>
      </c>
      <c r="DU28" s="517">
        <f t="shared" si="31"/>
        <v>1316250</v>
      </c>
      <c r="DV28" s="523">
        <f>[1]Субсидия_факт!E26</f>
        <v>0</v>
      </c>
      <c r="DW28" s="1025">
        <f>[1]Субсидия_факт!G26</f>
        <v>0</v>
      </c>
      <c r="DX28" s="678">
        <f>[1]Субсидия_факт!I26</f>
        <v>0</v>
      </c>
      <c r="DY28" s="636">
        <f>[1]Субсидия_факт!K26</f>
        <v>0</v>
      </c>
      <c r="DZ28" s="786">
        <f>[1]Субсидия_факт!M26</f>
        <v>0</v>
      </c>
      <c r="EA28" s="498">
        <f>[1]Субсидия_факт!O26</f>
        <v>1035000</v>
      </c>
      <c r="EB28" s="636">
        <f>[1]Субсидия_факт!Q26</f>
        <v>281250</v>
      </c>
      <c r="EC28" s="516">
        <f t="shared" si="32"/>
        <v>281250</v>
      </c>
      <c r="ED28" s="530"/>
      <c r="EE28" s="529"/>
      <c r="EF28" s="682"/>
      <c r="EG28" s="529"/>
      <c r="EH28" s="682"/>
      <c r="EI28" s="530"/>
      <c r="EJ28" s="607">
        <f t="shared" si="146"/>
        <v>281250</v>
      </c>
      <c r="EK28" s="516">
        <f t="shared" si="147"/>
        <v>0</v>
      </c>
      <c r="EL28" s="1223">
        <f>[1]Субсидия_факт!S26</f>
        <v>0</v>
      </c>
      <c r="EM28" s="524">
        <f t="shared" si="147"/>
        <v>0</v>
      </c>
      <c r="EN28" s="607">
        <f t="shared" si="148"/>
        <v>0</v>
      </c>
      <c r="EO28" s="570">
        <f t="shared" si="149"/>
        <v>0</v>
      </c>
      <c r="EP28" s="633">
        <f t="shared" si="150"/>
        <v>0</v>
      </c>
      <c r="EQ28" s="633">
        <f>[1]Субсидия_факт!U26</f>
        <v>0</v>
      </c>
      <c r="ER28" s="1245">
        <f t="shared" si="151"/>
        <v>0</v>
      </c>
      <c r="ES28" s="487">
        <f t="shared" si="33"/>
        <v>0</v>
      </c>
      <c r="ET28" s="511">
        <f>[1]Субсидия_факт!AU26</f>
        <v>0</v>
      </c>
      <c r="EU28" s="890">
        <f>[1]Субсидия_факт!AW26</f>
        <v>0</v>
      </c>
      <c r="EV28" s="454">
        <f t="shared" si="34"/>
        <v>0</v>
      </c>
      <c r="EW28" s="777"/>
      <c r="EX28" s="1095"/>
      <c r="EY28" s="487">
        <f t="shared" si="35"/>
        <v>0</v>
      </c>
      <c r="EZ28" s="511">
        <f>[1]Субсидия_факт!FY26</f>
        <v>0</v>
      </c>
      <c r="FA28" s="890">
        <f>[1]Субсидия_факт!GA26</f>
        <v>0</v>
      </c>
      <c r="FB28" s="454">
        <f t="shared" si="36"/>
        <v>0</v>
      </c>
      <c r="FC28" s="777"/>
      <c r="FD28" s="1095"/>
      <c r="FE28" s="517">
        <f t="shared" si="152"/>
        <v>2864400</v>
      </c>
      <c r="FF28" s="430">
        <f>[1]Субсидия_факт!W26</f>
        <v>143220</v>
      </c>
      <c r="FG28" s="931">
        <f>[1]Субсидия_факт!Y26</f>
        <v>2721180</v>
      </c>
      <c r="FH28" s="452">
        <f>[1]Субсидия_факт!AA26</f>
        <v>0</v>
      </c>
      <c r="FI28" s="686">
        <f>[1]Субсидия_факт!AC26</f>
        <v>0</v>
      </c>
      <c r="FJ28" s="516">
        <f t="shared" si="153"/>
        <v>0</v>
      </c>
      <c r="FK28" s="462"/>
      <c r="FL28" s="682"/>
      <c r="FM28" s="462"/>
      <c r="FN28" s="682"/>
      <c r="FO28" s="487">
        <f t="shared" si="37"/>
        <v>0</v>
      </c>
      <c r="FP28" s="511">
        <f>[1]Субсидия_факт!AY26</f>
        <v>0</v>
      </c>
      <c r="FQ28" s="890">
        <f>[1]Субсидия_факт!BA26</f>
        <v>0</v>
      </c>
      <c r="FR28" s="454">
        <f t="shared" si="38"/>
        <v>0</v>
      </c>
      <c r="FS28" s="777"/>
      <c r="FT28" s="673"/>
      <c r="FU28" s="524">
        <f t="shared" si="154"/>
        <v>0</v>
      </c>
      <c r="FV28" s="498">
        <f>[1]Субсидия_факт!EE26</f>
        <v>0</v>
      </c>
      <c r="FW28" s="686">
        <f>[1]Субсидия_факт!EG26</f>
        <v>0</v>
      </c>
      <c r="FX28" s="517">
        <f t="shared" si="155"/>
        <v>0</v>
      </c>
      <c r="FY28" s="529"/>
      <c r="FZ28" s="704"/>
      <c r="GA28" s="559">
        <f t="shared" si="41"/>
        <v>1348233</v>
      </c>
      <c r="GB28" s="511">
        <f>[1]Субсидия_факт!DS26</f>
        <v>377507.09</v>
      </c>
      <c r="GC28" s="890">
        <f>[1]Субсидия_факт!DY26</f>
        <v>970725.91</v>
      </c>
      <c r="GD28" s="454">
        <f t="shared" si="42"/>
        <v>1348233</v>
      </c>
      <c r="GE28" s="1290">
        <f>GB28</f>
        <v>377507.09</v>
      </c>
      <c r="GF28" s="671">
        <f>GC28</f>
        <v>970725.91</v>
      </c>
      <c r="GG28" s="454">
        <f t="shared" si="43"/>
        <v>0</v>
      </c>
      <c r="GH28" s="511">
        <f>[1]Субсидия_факт!DU26</f>
        <v>0</v>
      </c>
      <c r="GI28" s="751">
        <f>[1]Субсидия_факт!EA26</f>
        <v>0</v>
      </c>
      <c r="GJ28" s="454">
        <f t="shared" si="44"/>
        <v>0</v>
      </c>
      <c r="GK28" s="610"/>
      <c r="GL28" s="706"/>
      <c r="GM28" s="659">
        <f t="shared" si="45"/>
        <v>0</v>
      </c>
      <c r="GN28" s="749">
        <f>'Проверочная  таблица'!GH28-'Проверочная  таблица'!GT28</f>
        <v>0</v>
      </c>
      <c r="GO28" s="671">
        <f>'Проверочная  таблица'!GI28-'Проверочная  таблица'!GU28</f>
        <v>0</v>
      </c>
      <c r="GP28" s="653">
        <f t="shared" si="46"/>
        <v>0</v>
      </c>
      <c r="GQ28" s="756">
        <f>'Проверочная  таблица'!GK28-'Проверочная  таблица'!GW28</f>
        <v>0</v>
      </c>
      <c r="GR28" s="768">
        <f>'Проверочная  таблица'!GL28-'Проверочная  таблица'!GX28</f>
        <v>0</v>
      </c>
      <c r="GS28" s="659">
        <f t="shared" si="47"/>
        <v>0</v>
      </c>
      <c r="GT28" s="511">
        <f>[1]Субсидия_факт!DW26</f>
        <v>0</v>
      </c>
      <c r="GU28" s="890">
        <f>[1]Субсидия_факт!EC26</f>
        <v>0</v>
      </c>
      <c r="GV28" s="659">
        <f t="shared" si="48"/>
        <v>0</v>
      </c>
      <c r="GW28" s="511"/>
      <c r="GX28" s="751"/>
      <c r="GY28" s="454">
        <f t="shared" si="49"/>
        <v>0</v>
      </c>
      <c r="GZ28" s="756">
        <f>[1]Субсидия_факт!AE26</f>
        <v>0</v>
      </c>
      <c r="HA28" s="671">
        <f>[1]Субсидия_факт!AG26</f>
        <v>0</v>
      </c>
      <c r="HB28" s="454">
        <f t="shared" si="50"/>
        <v>0</v>
      </c>
      <c r="HC28" s="756"/>
      <c r="HD28" s="671"/>
      <c r="HE28" s="747">
        <f t="shared" si="51"/>
        <v>24221.010000000002</v>
      </c>
      <c r="HF28" s="756">
        <f>[1]Субсидия_факт!BW26</f>
        <v>0</v>
      </c>
      <c r="HG28" s="671">
        <f>[1]Субсидия_факт!CC26</f>
        <v>0</v>
      </c>
      <c r="HH28" s="511">
        <f>[1]Субсидия_факт!CU26</f>
        <v>21739.13</v>
      </c>
      <c r="HI28" s="890">
        <f>[1]Субсидия_факт!DA26</f>
        <v>2481.8799999999997</v>
      </c>
      <c r="HJ28" s="511">
        <f>[1]Субсидия_факт!DG26</f>
        <v>0</v>
      </c>
      <c r="HK28" s="890">
        <f>[1]Субсидия_факт!DM26</f>
        <v>0</v>
      </c>
      <c r="HL28" s="511">
        <f>[1]Субсидия_факт!EI26</f>
        <v>0</v>
      </c>
      <c r="HM28" s="751">
        <f>[1]Субсидия_факт!EO26</f>
        <v>0</v>
      </c>
      <c r="HN28" s="747">
        <f t="shared" si="52"/>
        <v>24221.010000000002</v>
      </c>
      <c r="HO28" s="610"/>
      <c r="HP28" s="673"/>
      <c r="HQ28" s="756">
        <f t="shared" si="156"/>
        <v>21739.13</v>
      </c>
      <c r="HR28" s="768">
        <f t="shared" si="188"/>
        <v>2481.8799999999997</v>
      </c>
      <c r="HS28" s="756">
        <f t="shared" si="157"/>
        <v>0</v>
      </c>
      <c r="HT28" s="1480">
        <f t="shared" si="158"/>
        <v>0</v>
      </c>
      <c r="HU28" s="610"/>
      <c r="HV28" s="673"/>
      <c r="HW28" s="747">
        <f t="shared" si="53"/>
        <v>0</v>
      </c>
      <c r="HX28" s="756">
        <f>[1]Субсидия_факт!BY26</f>
        <v>0</v>
      </c>
      <c r="HY28" s="671">
        <f>[1]Субсидия_факт!CE26</f>
        <v>0</v>
      </c>
      <c r="HZ28" s="511">
        <f>[1]Субсидия_факт!CW26</f>
        <v>0</v>
      </c>
      <c r="IA28" s="751">
        <f>[1]Субсидия_факт!DC26</f>
        <v>0</v>
      </c>
      <c r="IB28" s="511">
        <f>[1]Субсидия_факт!DI26</f>
        <v>0</v>
      </c>
      <c r="IC28" s="890">
        <f>[1]Субсидия_факт!DO26</f>
        <v>0</v>
      </c>
      <c r="ID28" s="511">
        <f>[1]Субсидия_факт!EK26</f>
        <v>0</v>
      </c>
      <c r="IE28" s="751">
        <f>[1]Субсидия_факт!EQ26</f>
        <v>0</v>
      </c>
      <c r="IF28" s="747">
        <f t="shared" si="54"/>
        <v>0</v>
      </c>
      <c r="IG28" s="610"/>
      <c r="IH28" s="673"/>
      <c r="II28" s="749">
        <f t="shared" si="159"/>
        <v>0</v>
      </c>
      <c r="IJ28" s="671">
        <f t="shared" si="160"/>
        <v>0</v>
      </c>
      <c r="IK28" s="777"/>
      <c r="IL28" s="673"/>
      <c r="IM28" s="610"/>
      <c r="IN28" s="673"/>
      <c r="IO28" s="750">
        <f t="shared" si="55"/>
        <v>0</v>
      </c>
      <c r="IP28" s="756">
        <f>'Проверочная  таблица'!HX28-JH28</f>
        <v>0</v>
      </c>
      <c r="IQ28" s="671">
        <f>'Проверочная  таблица'!HY28-JI28</f>
        <v>0</v>
      </c>
      <c r="IR28" s="756">
        <f>'Проверочная  таблица'!HZ28-JJ28</f>
        <v>0</v>
      </c>
      <c r="IS28" s="671">
        <f>'Проверочная  таблица'!IA28-JK28</f>
        <v>0</v>
      </c>
      <c r="IT28" s="749">
        <f>'Проверочная  таблица'!IB28-JL28</f>
        <v>0</v>
      </c>
      <c r="IU28" s="671">
        <f>'Проверочная  таблица'!IC28-JM28</f>
        <v>0</v>
      </c>
      <c r="IV28" s="756">
        <f>'Проверочная  таблица'!ID28-JN28</f>
        <v>0</v>
      </c>
      <c r="IW28" s="671">
        <f>'Проверочная  таблица'!IE28-JO28</f>
        <v>0</v>
      </c>
      <c r="IX28" s="750">
        <f t="shared" si="56"/>
        <v>0</v>
      </c>
      <c r="IY28" s="756">
        <f>'Проверочная  таблица'!IG28-JQ28</f>
        <v>0</v>
      </c>
      <c r="IZ28" s="810">
        <f>'Проверочная  таблица'!IH28-JR28</f>
        <v>0</v>
      </c>
      <c r="JA28" s="756">
        <f>'Проверочная  таблица'!II28-JS28</f>
        <v>0</v>
      </c>
      <c r="JB28" s="768">
        <f>'Проверочная  таблица'!IJ28-JT28</f>
        <v>0</v>
      </c>
      <c r="JC28" s="756">
        <f>'Проверочная  таблица'!IK28-JU28</f>
        <v>0</v>
      </c>
      <c r="JD28" s="768">
        <f>'Проверочная  таблица'!IL28-JV28</f>
        <v>0</v>
      </c>
      <c r="JE28" s="756">
        <f>'Проверочная  таблица'!IM28-JW28</f>
        <v>0</v>
      </c>
      <c r="JF28" s="768">
        <f>'Проверочная  таблица'!IN28-JX28</f>
        <v>0</v>
      </c>
      <c r="JG28" s="659">
        <f t="shared" si="57"/>
        <v>0</v>
      </c>
      <c r="JH28" s="756">
        <f>[1]Субсидия_факт!CA26</f>
        <v>0</v>
      </c>
      <c r="JI28" s="671">
        <f>[1]Субсидия_факт!CG26</f>
        <v>0</v>
      </c>
      <c r="JJ28" s="511">
        <f>[1]Субсидия_факт!CY26</f>
        <v>0</v>
      </c>
      <c r="JK28" s="751">
        <f>[1]Субсидия_факт!DE26</f>
        <v>0</v>
      </c>
      <c r="JL28" s="511">
        <f>[1]Субсидия_факт!DK26</f>
        <v>0</v>
      </c>
      <c r="JM28" s="890">
        <f>[1]Субсидия_факт!DQ26</f>
        <v>0</v>
      </c>
      <c r="JN28" s="511">
        <f>[1]Субсидия_факт!EM26</f>
        <v>0</v>
      </c>
      <c r="JO28" s="751">
        <f>[1]Субсидия_факт!ES26</f>
        <v>0</v>
      </c>
      <c r="JP28" s="750">
        <f t="shared" si="58"/>
        <v>0</v>
      </c>
      <c r="JQ28" s="610"/>
      <c r="JR28" s="673"/>
      <c r="JS28" s="513"/>
      <c r="JT28" s="788"/>
      <c r="JU28" s="513"/>
      <c r="JV28" s="885"/>
      <c r="JW28" s="610"/>
      <c r="JX28" s="673"/>
      <c r="JY28" s="454">
        <f t="shared" si="161"/>
        <v>0</v>
      </c>
      <c r="JZ28" s="511">
        <f>[1]Субсидия_факт!BC26</f>
        <v>0</v>
      </c>
      <c r="KA28" s="890">
        <f>[1]Субсидия_факт!BE26</f>
        <v>0</v>
      </c>
      <c r="KB28" s="511">
        <f>[1]Субсидия_факт!BG26</f>
        <v>0</v>
      </c>
      <c r="KC28" s="890">
        <f>[1]Субсидия_факт!BI26</f>
        <v>0</v>
      </c>
      <c r="KD28" s="454">
        <f t="shared" si="162"/>
        <v>0</v>
      </c>
      <c r="KE28" s="610"/>
      <c r="KF28" s="673"/>
      <c r="KG28" s="610"/>
      <c r="KH28" s="673"/>
      <c r="KI28" s="524">
        <f t="shared" si="59"/>
        <v>619095.66</v>
      </c>
      <c r="KJ28" s="511">
        <f>[1]Субсидия_факт!HO26</f>
        <v>619095.66</v>
      </c>
      <c r="KK28" s="523">
        <f>[1]Субсидия_факт!HQ26</f>
        <v>0</v>
      </c>
      <c r="KL28" s="686">
        <f>[1]Субсидия_факт!HS26</f>
        <v>0</v>
      </c>
      <c r="KM28" s="636">
        <f>[1]Субсидия_факт!IC26</f>
        <v>0</v>
      </c>
      <c r="KN28" s="686">
        <f>[1]Субсидия_факт!IE26</f>
        <v>0</v>
      </c>
      <c r="KO28" s="487">
        <f t="shared" si="163"/>
        <v>619095.66</v>
      </c>
      <c r="KP28" s="756">
        <f t="shared" si="164"/>
        <v>619095.66</v>
      </c>
      <c r="KQ28" s="333"/>
      <c r="KR28" s="682"/>
      <c r="KS28" s="462"/>
      <c r="KT28" s="682"/>
      <c r="KU28" s="454">
        <f t="shared" si="60"/>
        <v>0</v>
      </c>
      <c r="KV28" s="513">
        <f>[1]Субсидия_факт!HY26</f>
        <v>0</v>
      </c>
      <c r="KW28" s="513">
        <f>[1]Субсидия_факт!HU26</f>
        <v>0</v>
      </c>
      <c r="KX28" s="751">
        <f>[1]Субсидия_факт!HW26</f>
        <v>0</v>
      </c>
      <c r="KY28" s="454">
        <f t="shared" si="61"/>
        <v>0</v>
      </c>
      <c r="KZ28" s="756">
        <f t="shared" si="165"/>
        <v>0</v>
      </c>
      <c r="LA28" s="610"/>
      <c r="LB28" s="673"/>
      <c r="LC28" s="886">
        <f t="shared" si="62"/>
        <v>0</v>
      </c>
      <c r="LD28" s="886">
        <f t="shared" si="63"/>
        <v>0</v>
      </c>
      <c r="LE28" s="657">
        <f t="shared" si="64"/>
        <v>0</v>
      </c>
      <c r="LF28" s="1038">
        <f t="shared" si="65"/>
        <v>0</v>
      </c>
      <c r="LG28" s="753">
        <f t="shared" si="166"/>
        <v>0</v>
      </c>
      <c r="LH28" s="511">
        <f>[1]Субсидия_факт!OG26</f>
        <v>0</v>
      </c>
      <c r="LI28" s="890">
        <f>[1]Субсидия_факт!OM26</f>
        <v>0</v>
      </c>
      <c r="LJ28" s="511">
        <f>[1]Субсидия_факт!OS26</f>
        <v>0</v>
      </c>
      <c r="LK28" s="890">
        <f>[1]Субсидия_факт!OY26</f>
        <v>0</v>
      </c>
      <c r="LL28" s="756">
        <f>[1]Субсидия_факт!PE26</f>
        <v>0</v>
      </c>
      <c r="LM28" s="768">
        <f>[1]Субсидия_факт!PI26</f>
        <v>0</v>
      </c>
      <c r="LN28" s="753">
        <f t="shared" si="66"/>
        <v>0</v>
      </c>
      <c r="LO28" s="777"/>
      <c r="LP28" s="673"/>
      <c r="LQ28" s="610"/>
      <c r="LR28" s="776"/>
      <c r="LS28" s="610"/>
      <c r="LT28" s="776"/>
      <c r="LU28" s="753">
        <f t="shared" si="67"/>
        <v>0</v>
      </c>
      <c r="LV28" s="511">
        <f>[1]Субсидия_факт!OI26</f>
        <v>0</v>
      </c>
      <c r="LW28" s="890">
        <f>[1]Субсидия_факт!OO26</f>
        <v>0</v>
      </c>
      <c r="LX28" s="513">
        <f>[1]Субсидия_факт!OU26</f>
        <v>0</v>
      </c>
      <c r="LY28" s="751">
        <f>[1]Субсидия_факт!PA26</f>
        <v>0</v>
      </c>
      <c r="LZ28" s="754">
        <f t="shared" si="68"/>
        <v>0</v>
      </c>
      <c r="MA28" s="610"/>
      <c r="MB28" s="776"/>
      <c r="MC28" s="610"/>
      <c r="MD28" s="673"/>
      <c r="ME28" s="652">
        <f t="shared" si="69"/>
        <v>0</v>
      </c>
      <c r="MF28" s="642">
        <f>'Проверочная  таблица'!LV28-MP28</f>
        <v>0</v>
      </c>
      <c r="MG28" s="678">
        <f>'Проверочная  таблица'!LW28-MQ28</f>
        <v>0</v>
      </c>
      <c r="MH28" s="765">
        <f>'Проверочная  таблица'!LY28-MR28</f>
        <v>0</v>
      </c>
      <c r="MI28" s="607">
        <f>'Проверочная  таблица'!LX28-MS28</f>
        <v>0</v>
      </c>
      <c r="MJ28" s="755">
        <f t="shared" si="70"/>
        <v>0</v>
      </c>
      <c r="MK28" s="749">
        <f>'Проверочная  таблица'!MA28-MU28</f>
        <v>0</v>
      </c>
      <c r="ML28" s="671">
        <f>'Проверочная  таблица'!MB28-MV28</f>
        <v>0</v>
      </c>
      <c r="MM28" s="768">
        <f>'Проверочная  таблица'!MD28-MW28</f>
        <v>0</v>
      </c>
      <c r="MN28" s="756">
        <f>'Проверочная  таблица'!MC28-MX28</f>
        <v>0</v>
      </c>
      <c r="MO28" s="779">
        <f t="shared" si="71"/>
        <v>0</v>
      </c>
      <c r="MP28" s="511">
        <f>[1]Субсидия_факт!OK26</f>
        <v>0</v>
      </c>
      <c r="MQ28" s="890">
        <f>[1]Субсидия_факт!OQ26</f>
        <v>0</v>
      </c>
      <c r="MR28" s="890">
        <f>[1]Субсидия_факт!PC26</f>
        <v>0</v>
      </c>
      <c r="MS28" s="511">
        <f>[1]Субсидия_факт!OW26</f>
        <v>0</v>
      </c>
      <c r="MT28" s="755">
        <f t="shared" si="72"/>
        <v>0</v>
      </c>
      <c r="MU28" s="749">
        <f t="shared" si="167"/>
        <v>0</v>
      </c>
      <c r="MV28" s="671">
        <f t="shared" si="168"/>
        <v>0</v>
      </c>
      <c r="MW28" s="768">
        <f t="shared" si="169"/>
        <v>0</v>
      </c>
      <c r="MX28" s="756">
        <f t="shared" si="73"/>
        <v>0</v>
      </c>
      <c r="MY28" s="524">
        <f>SUM('Проверочная  таблица'!MZ28:MZ28)</f>
        <v>0</v>
      </c>
      <c r="MZ28" s="333"/>
      <c r="NA28" s="524">
        <f>SUM('Проверочная  таблица'!NB28:NB28)</f>
        <v>0</v>
      </c>
      <c r="NB28" s="462"/>
      <c r="NC28" s="524">
        <f t="shared" si="74"/>
        <v>0</v>
      </c>
      <c r="ND28" s="452">
        <f>[1]Субсидия_факт!IU26</f>
        <v>0</v>
      </c>
      <c r="NE28" s="686">
        <f>[1]Субсидия_факт!IY26</f>
        <v>0</v>
      </c>
      <c r="NF28" s="517">
        <f t="shared" si="75"/>
        <v>0</v>
      </c>
      <c r="NG28" s="529"/>
      <c r="NH28" s="774"/>
      <c r="NI28" s="570">
        <f t="shared" si="76"/>
        <v>0</v>
      </c>
      <c r="NJ28" s="1000">
        <f>'Проверочная  таблица'!ND28-NP28</f>
        <v>0</v>
      </c>
      <c r="NK28" s="678">
        <f>'Проверочная  таблица'!NE28-NQ28</f>
        <v>0</v>
      </c>
      <c r="NL28" s="570">
        <f t="shared" si="77"/>
        <v>0</v>
      </c>
      <c r="NM28" s="476">
        <f>'Проверочная  таблица'!NG28-NS28</f>
        <v>0</v>
      </c>
      <c r="NN28" s="678">
        <f>'Проверочная  таблица'!NH28-NT28</f>
        <v>0</v>
      </c>
      <c r="NO28" s="633">
        <f t="shared" si="78"/>
        <v>0</v>
      </c>
      <c r="NP28" s="452">
        <f>[1]Субсидия_факт!IW26</f>
        <v>0</v>
      </c>
      <c r="NQ28" s="686">
        <f>[1]Субсидия_факт!JA26</f>
        <v>0</v>
      </c>
      <c r="NR28" s="570">
        <f t="shared" si="79"/>
        <v>0</v>
      </c>
      <c r="NS28" s="476"/>
      <c r="NT28" s="710"/>
      <c r="NU28" s="517">
        <f t="shared" si="170"/>
        <v>0</v>
      </c>
      <c r="NV28" s="332">
        <f>[1]Субсидия_факт!FA26</f>
        <v>0</v>
      </c>
      <c r="NW28" s="786">
        <f>[1]Субсидия_факт!FC26</f>
        <v>0</v>
      </c>
      <c r="NX28" s="517">
        <f t="shared" si="171"/>
        <v>0</v>
      </c>
      <c r="NY28" s="462"/>
      <c r="NZ28" s="682"/>
      <c r="OA28" s="517">
        <f t="shared" si="172"/>
        <v>0</v>
      </c>
      <c r="OD28" s="517">
        <f t="shared" si="173"/>
        <v>0</v>
      </c>
      <c r="OG28" s="526">
        <f t="shared" si="174"/>
        <v>0</v>
      </c>
      <c r="OJ28" s="526">
        <f t="shared" si="175"/>
        <v>0</v>
      </c>
      <c r="OM28" s="526">
        <f t="shared" si="176"/>
        <v>0</v>
      </c>
      <c r="OP28" s="526">
        <f t="shared" si="177"/>
        <v>0</v>
      </c>
      <c r="OS28" s="524">
        <f t="shared" si="80"/>
        <v>44988409.920000002</v>
      </c>
      <c r="OT28" s="498">
        <f>[1]Субсидия_факт!JO26</f>
        <v>1338194.94</v>
      </c>
      <c r="OU28" s="786">
        <f>[1]Субсидия_факт!JQ26</f>
        <v>3441072.7199999997</v>
      </c>
      <c r="OV28" s="332">
        <f>[1]Субсидия_факт!KS26</f>
        <v>0</v>
      </c>
      <c r="OW28" s="686">
        <f>[1]Субсидия_факт!KY26</f>
        <v>0</v>
      </c>
      <c r="OX28" s="498">
        <f>[1]Субсидия_факт!KG26</f>
        <v>16875777.379999999</v>
      </c>
      <c r="OY28" s="786">
        <f>[1]Субсидия_факт!KM26</f>
        <v>23333364.879999999</v>
      </c>
      <c r="OZ28" s="517">
        <f t="shared" si="81"/>
        <v>12067816.140000001</v>
      </c>
      <c r="PA28" s="462"/>
      <c r="PB28" s="682"/>
      <c r="PC28" s="333"/>
      <c r="PD28" s="704"/>
      <c r="PE28" s="462">
        <v>5064870.1500000004</v>
      </c>
      <c r="PF28" s="794">
        <f>12067816.14-PE28</f>
        <v>7002945.9900000002</v>
      </c>
      <c r="PG28" s="524">
        <f t="shared" si="82"/>
        <v>0</v>
      </c>
      <c r="PH28" s="498">
        <f>[1]Субсидия_факт!JC26</f>
        <v>0</v>
      </c>
      <c r="PI28" s="931">
        <f>[1]Субсидия_факт!JG26</f>
        <v>0</v>
      </c>
      <c r="PJ28" s="476">
        <f>[1]Субсидия_факт!JS26</f>
        <v>0</v>
      </c>
      <c r="PK28" s="678">
        <f>[1]Субсидия_факт!JW26</f>
        <v>0</v>
      </c>
      <c r="PL28" s="498">
        <f>[1]Субсидия_факт!KU26</f>
        <v>0</v>
      </c>
      <c r="PM28" s="791">
        <f>[1]Субсидия_факт!LA26</f>
        <v>0</v>
      </c>
      <c r="PN28" s="498">
        <f>[1]Субсидия_факт!KI26</f>
        <v>0</v>
      </c>
      <c r="PO28" s="686">
        <f>[1]Субсидия_факт!KO26</f>
        <v>0</v>
      </c>
      <c r="PP28" s="517">
        <f t="shared" si="83"/>
        <v>0</v>
      </c>
      <c r="PQ28" s="529"/>
      <c r="PR28" s="771"/>
      <c r="PS28" s="462"/>
      <c r="PT28" s="682"/>
      <c r="PU28" s="529"/>
      <c r="PV28" s="774"/>
      <c r="PW28" s="529"/>
      <c r="PX28" s="682"/>
      <c r="PY28" s="570">
        <f t="shared" si="84"/>
        <v>0</v>
      </c>
      <c r="PZ28" s="452">
        <f t="shared" si="85"/>
        <v>0</v>
      </c>
      <c r="QA28" s="686">
        <f t="shared" si="86"/>
        <v>0</v>
      </c>
      <c r="QB28" s="430">
        <f t="shared" si="87"/>
        <v>0</v>
      </c>
      <c r="QC28" s="686">
        <f t="shared" si="88"/>
        <v>0</v>
      </c>
      <c r="QD28" s="332">
        <f t="shared" si="89"/>
        <v>0</v>
      </c>
      <c r="QE28" s="686">
        <f t="shared" si="90"/>
        <v>0</v>
      </c>
      <c r="QF28" s="430">
        <f t="shared" si="91"/>
        <v>0</v>
      </c>
      <c r="QG28" s="686">
        <f t="shared" si="92"/>
        <v>0</v>
      </c>
      <c r="QH28" s="633">
        <f t="shared" si="93"/>
        <v>0</v>
      </c>
      <c r="QI28" s="452">
        <f t="shared" si="94"/>
        <v>0</v>
      </c>
      <c r="QJ28" s="686">
        <f t="shared" si="95"/>
        <v>0</v>
      </c>
      <c r="QK28" s="430">
        <f t="shared" si="96"/>
        <v>0</v>
      </c>
      <c r="QL28" s="686">
        <f t="shared" si="97"/>
        <v>0</v>
      </c>
      <c r="QM28" s="332">
        <f t="shared" si="98"/>
        <v>0</v>
      </c>
      <c r="QN28" s="786">
        <f t="shared" si="99"/>
        <v>0</v>
      </c>
      <c r="QO28" s="332">
        <f t="shared" si="100"/>
        <v>0</v>
      </c>
      <c r="QP28" s="686">
        <f t="shared" si="101"/>
        <v>0</v>
      </c>
      <c r="QQ28" s="570">
        <f t="shared" si="102"/>
        <v>0</v>
      </c>
      <c r="QR28" s="430">
        <f>[1]Субсидия_факт!JE26</f>
        <v>0</v>
      </c>
      <c r="QS28" s="931">
        <f>[1]Субсидия_факт!JI26</f>
        <v>0</v>
      </c>
      <c r="QT28" s="607">
        <f>[1]Субсидия_факт!JU26</f>
        <v>0</v>
      </c>
      <c r="QU28" s="678">
        <f>[1]Субсидия_факт!JY26</f>
        <v>0</v>
      </c>
      <c r="QV28" s="332">
        <f>[1]Субсидия_факт!KW26</f>
        <v>0</v>
      </c>
      <c r="QW28" s="791">
        <f>[1]Субсидия_факт!LC26</f>
        <v>0</v>
      </c>
      <c r="QX28" s="332">
        <f>[1]Субсидия_факт!KK26</f>
        <v>0</v>
      </c>
      <c r="QY28" s="686">
        <f>[1]Субсидия_факт!KQ26</f>
        <v>0</v>
      </c>
      <c r="QZ28" s="570">
        <f t="shared" si="103"/>
        <v>0</v>
      </c>
      <c r="RA28" s="530"/>
      <c r="RB28" s="678"/>
      <c r="RC28" s="462"/>
      <c r="RD28" s="682"/>
      <c r="RE28" s="530"/>
      <c r="RF28" s="794"/>
      <c r="RG28" s="529"/>
      <c r="RH28" s="765"/>
      <c r="RI28" s="487">
        <f>[1]Субсидия_факт!PW26</f>
        <v>19050584.059999999</v>
      </c>
      <c r="RJ28" s="1240">
        <f t="shared" si="178"/>
        <v>19050584.059999999</v>
      </c>
      <c r="RK28" s="522">
        <f>'Прочая  субсидия_МР  и  ГО'!B24</f>
        <v>25116930.630000003</v>
      </c>
      <c r="RL28" s="517">
        <f>'Прочая  субсидия_МР  и  ГО'!C24</f>
        <v>23851368.280000001</v>
      </c>
      <c r="RM28" s="522">
        <f>'Прочая  субсидия_БП'!B24</f>
        <v>23582766.809999999</v>
      </c>
      <c r="RN28" s="524">
        <f>'Прочая  субсидия_БП'!C24</f>
        <v>12361092.810000001</v>
      </c>
      <c r="RO28" s="565">
        <f>'Прочая  субсидия_БП'!D24</f>
        <v>23582766.809999999</v>
      </c>
      <c r="RP28" s="564">
        <f>'Прочая  субсидия_БП'!E24</f>
        <v>12361092.810000001</v>
      </c>
      <c r="RQ28" s="571">
        <f>'Прочая  субсидия_БП'!F24</f>
        <v>0</v>
      </c>
      <c r="RR28" s="564">
        <f>'Прочая  субсидия_БП'!G24</f>
        <v>0</v>
      </c>
      <c r="RS28" s="487">
        <f t="shared" si="104"/>
        <v>212746423</v>
      </c>
      <c r="RT28" s="452">
        <f>'Проверочная  таблица'!SR28+'Проверочная  таблица'!RY28+'Проверочная  таблица'!SA28+'Проверочная  таблица'!SC28</f>
        <v>209429158</v>
      </c>
      <c r="RU28" s="332">
        <f>'Проверочная  таблица'!SS28+'Проверочная  таблица'!SE28+'Проверочная  таблица'!SK28+'Проверочная  таблица'!SG28+'Проверочная  таблица'!SO28+'Проверочная  таблица'!SI28+SM28</f>
        <v>3317265</v>
      </c>
      <c r="RV28" s="517">
        <f t="shared" si="105"/>
        <v>179920860.71000001</v>
      </c>
      <c r="RW28" s="430">
        <f>'Проверочная  таблица'!SU28+'Проверочная  таблица'!RZ28+'Проверочная  таблица'!SB28+'Проверочная  таблица'!SD28</f>
        <v>177583250</v>
      </c>
      <c r="RX28" s="332">
        <f>'Проверочная  таблица'!SV28+'Проверочная  таблица'!SF28+'Проверочная  таблица'!SL28+'Проверочная  таблица'!SH28+'Проверочная  таблица'!SP28+'Проверочная  таблица'!SJ28+SN28</f>
        <v>2337610.71</v>
      </c>
      <c r="RY28" s="559">
        <f>'Субвенция  на  полномочия'!B24</f>
        <v>198161858</v>
      </c>
      <c r="RZ28" s="454">
        <f>'Субвенция  на  полномочия'!C24</f>
        <v>169323950</v>
      </c>
      <c r="SA28" s="732">
        <f>[1]Субвенция_факт!P25*1000</f>
        <v>7643000</v>
      </c>
      <c r="SB28" s="1389">
        <v>5450000</v>
      </c>
      <c r="SC28" s="732">
        <f>[1]Субвенция_факт!K25*1000</f>
        <v>2960000</v>
      </c>
      <c r="SD28" s="1389">
        <v>2145000</v>
      </c>
      <c r="SE28" s="732">
        <f>[1]Субвенция_факт!AD25*1000</f>
        <v>1305400</v>
      </c>
      <c r="SF28" s="735">
        <v>713050.42</v>
      </c>
      <c r="SG28" s="732">
        <f>[1]Субвенция_факт!AE25*1000</f>
        <v>0</v>
      </c>
      <c r="SH28" s="735"/>
      <c r="SI28" s="732">
        <f>[1]Субвенция_факт!E25*1000</f>
        <v>0</v>
      </c>
      <c r="SJ28" s="735"/>
      <c r="SK28" s="732">
        <f>[1]Субвенция_факт!F25*1000</f>
        <v>0</v>
      </c>
      <c r="SL28" s="866"/>
      <c r="SM28" s="163">
        <f>[1]Субвенция_факт!G25*1000</f>
        <v>611865</v>
      </c>
      <c r="SN28" s="867">
        <v>595908</v>
      </c>
      <c r="SO28" s="732">
        <f>[1]Субвенция_факт!H25*1000</f>
        <v>0</v>
      </c>
      <c r="SP28" s="735"/>
      <c r="SQ28" s="524">
        <f t="shared" si="106"/>
        <v>2064300</v>
      </c>
      <c r="SR28" s="865">
        <f>[1]Субвенция_факт!AC25*1000</f>
        <v>664300</v>
      </c>
      <c r="SS28" s="1040">
        <f>[1]Субвенция_факт!AB25*1000</f>
        <v>1400000</v>
      </c>
      <c r="ST28" s="517">
        <f t="shared" si="107"/>
        <v>1692952.29</v>
      </c>
      <c r="SU28" s="1503">
        <v>664300</v>
      </c>
      <c r="SV28" s="1506">
        <v>1028652.29</v>
      </c>
      <c r="SW28" s="271">
        <f>'Проверочная  таблица'!VC28+'Проверочная  таблица'!UY28+'Проверочная  таблица'!TQ28+'Проверочная  таблица'!TU28+SY28+'Проверочная  таблица'!US28+UC28+UI28</f>
        <v>0</v>
      </c>
      <c r="SX28" s="163">
        <f>'Проверочная  таблица'!VE28+'Проверочная  таблица'!VA28+'Проверочная  таблица'!TS28+'Проверочная  таблица'!TW28+TH28+'Проверочная  таблица'!UV28+UF28+UL28</f>
        <v>0</v>
      </c>
      <c r="SY28" s="1129">
        <f t="shared" si="108"/>
        <v>0</v>
      </c>
      <c r="SZ28" s="1114">
        <f>'[1]Иные межбюджетные трансферты'!O26</f>
        <v>0</v>
      </c>
      <c r="TA28" s="1111">
        <f>'[1]Иные межбюджетные трансферты'!Q26</f>
        <v>0</v>
      </c>
      <c r="TB28" s="879">
        <f>'[1]Иные межбюджетные трансферты'!I26</f>
        <v>0</v>
      </c>
      <c r="TC28" s="1111">
        <f>'[1]Иные межбюджетные трансферты'!K26</f>
        <v>0</v>
      </c>
      <c r="TD28" s="879">
        <f>'[1]Иные межбюджетные трансферты'!S26</f>
        <v>0</v>
      </c>
      <c r="TE28" s="958">
        <f>'[1]Иные межбюджетные трансферты'!U26</f>
        <v>0</v>
      </c>
      <c r="TF28" s="1236">
        <f>'[1]Иные межбюджетные трансферты'!M26</f>
        <v>0</v>
      </c>
      <c r="TG28" s="1231">
        <f>'[1]Иные межбюджетные трансферты'!W26</f>
        <v>0</v>
      </c>
      <c r="TH28" s="991">
        <f t="shared" si="109"/>
        <v>0</v>
      </c>
      <c r="TI28" s="984"/>
      <c r="TJ28" s="982"/>
      <c r="TK28" s="879"/>
      <c r="TL28" s="958"/>
      <c r="TM28" s="879"/>
      <c r="TN28" s="958"/>
      <c r="TO28" s="984"/>
      <c r="TP28" s="1269"/>
      <c r="TQ28" s="973">
        <f t="shared" si="179"/>
        <v>0</v>
      </c>
      <c r="TR28" s="1458">
        <f>'[1]Иные межбюджетные трансферты'!Y26</f>
        <v>0</v>
      </c>
      <c r="TS28" s="973">
        <f t="shared" si="179"/>
        <v>0</v>
      </c>
      <c r="TT28" s="958"/>
      <c r="TU28" s="973">
        <f t="shared" ref="TU28" si="208">TV28</f>
        <v>0</v>
      </c>
      <c r="TV28" s="958">
        <f>'[1]Иные межбюджетные трансферты'!AA26</f>
        <v>0</v>
      </c>
      <c r="TW28" s="973">
        <f t="shared" si="110"/>
        <v>0</v>
      </c>
      <c r="TX28" s="1111"/>
      <c r="TY28" s="976">
        <f t="shared" si="111"/>
        <v>0</v>
      </c>
      <c r="TZ28" s="970">
        <f t="shared" si="112"/>
        <v>0</v>
      </c>
      <c r="UA28" s="1266">
        <f t="shared" si="181"/>
        <v>0</v>
      </c>
      <c r="UB28" s="976">
        <f t="shared" si="182"/>
        <v>0</v>
      </c>
      <c r="UC28" s="973">
        <f t="shared" si="113"/>
        <v>0</v>
      </c>
      <c r="UD28" s="1272">
        <f>'[1]Иные межбюджетные трансферты'!AE26</f>
        <v>0</v>
      </c>
      <c r="UE28" s="1145">
        <f>'[1]Иные межбюджетные трансферты'!AK26</f>
        <v>0</v>
      </c>
      <c r="UF28" s="973">
        <f t="shared" si="114"/>
        <v>0</v>
      </c>
      <c r="UG28" s="958"/>
      <c r="UH28" s="958"/>
      <c r="UI28" s="973">
        <f t="shared" si="115"/>
        <v>0</v>
      </c>
      <c r="UJ28" s="1272">
        <f>'[1]Иные межбюджетные трансферты'!AG26</f>
        <v>0</v>
      </c>
      <c r="UK28" s="1145">
        <f>'[1]Иные межбюджетные трансферты'!AM26</f>
        <v>0</v>
      </c>
      <c r="UL28" s="973">
        <f t="shared" si="116"/>
        <v>0</v>
      </c>
      <c r="UM28" s="958"/>
      <c r="UN28" s="1111"/>
      <c r="UO28" s="976">
        <f t="shared" si="183"/>
        <v>0</v>
      </c>
      <c r="UP28" s="970">
        <f t="shared" si="184"/>
        <v>0</v>
      </c>
      <c r="UQ28" s="970">
        <f t="shared" si="185"/>
        <v>0</v>
      </c>
      <c r="UR28" s="1462">
        <f t="shared" si="186"/>
        <v>0</v>
      </c>
      <c r="US28" s="1263">
        <f t="shared" si="117"/>
        <v>0</v>
      </c>
      <c r="UT28" s="1040">
        <f>'[1]Иные межбюджетные трансферты'!E26</f>
        <v>0</v>
      </c>
      <c r="UU28" s="1126">
        <f>'[1]Иные межбюджетные трансферты'!G26</f>
        <v>0</v>
      </c>
      <c r="UV28" s="733">
        <f t="shared" si="118"/>
        <v>0</v>
      </c>
      <c r="UW28" s="1040"/>
      <c r="UX28" s="1126"/>
      <c r="UY28" s="880">
        <f t="shared" si="119"/>
        <v>0</v>
      </c>
      <c r="UZ28" s="958"/>
      <c r="VA28" s="1039">
        <f t="shared" si="120"/>
        <v>0</v>
      </c>
      <c r="VB28" s="890"/>
      <c r="VC28" s="510">
        <f t="shared" si="121"/>
        <v>0</v>
      </c>
      <c r="VD28" s="874">
        <f>'[1]Иные межбюджетные трансферты'!AS26</f>
        <v>0</v>
      </c>
      <c r="VE28" s="510">
        <f t="shared" si="122"/>
        <v>0</v>
      </c>
      <c r="VF28" s="513"/>
      <c r="VG28" s="886">
        <f t="shared" si="123"/>
        <v>0</v>
      </c>
      <c r="VH28" s="511">
        <f>'Проверочная  таблица'!VD28-VL28</f>
        <v>0</v>
      </c>
      <c r="VI28" s="886">
        <f t="shared" si="124"/>
        <v>0</v>
      </c>
      <c r="VJ28" s="511">
        <f>'Проверочная  таблица'!VF28-VN28</f>
        <v>0</v>
      </c>
      <c r="VK28" s="886">
        <f t="shared" si="125"/>
        <v>0</v>
      </c>
      <c r="VL28" s="874">
        <f>'[1]Иные межбюджетные трансферты'!AU26</f>
        <v>0</v>
      </c>
      <c r="VM28" s="1038">
        <f t="shared" si="126"/>
        <v>0</v>
      </c>
      <c r="VN28" s="513"/>
      <c r="VO28" s="517">
        <f>VQ28+'Проверочная  таблица'!VY28+VU28+'Проверочная  таблица'!WC28+VW28+'Проверочная  таблица'!WE28</f>
        <v>-22054900</v>
      </c>
      <c r="VP28" s="517">
        <f>VR28+'Проверочная  таблица'!VZ28+VV28+'Проверочная  таблица'!WD28+VX28+'Проверочная  таблица'!WF28</f>
        <v>-7454900</v>
      </c>
      <c r="VQ28" s="531">
        <v>9000000</v>
      </c>
      <c r="VR28" s="531">
        <v>7500000</v>
      </c>
      <c r="VS28" s="531">
        <v>150000</v>
      </c>
      <c r="VT28" s="531">
        <v>150000</v>
      </c>
      <c r="VU28" s="528">
        <f t="shared" si="127"/>
        <v>150000</v>
      </c>
      <c r="VV28" s="526">
        <f t="shared" si="128"/>
        <v>150000</v>
      </c>
      <c r="VW28" s="532"/>
      <c r="VX28" s="521"/>
      <c r="VY28" s="531">
        <v>-30750000</v>
      </c>
      <c r="VZ28" s="531">
        <v>-14750000</v>
      </c>
      <c r="WA28" s="531">
        <f>-354900-100000</f>
        <v>-454900</v>
      </c>
      <c r="WB28" s="531">
        <v>-354900</v>
      </c>
      <c r="WC28" s="528">
        <f t="shared" si="129"/>
        <v>-454900</v>
      </c>
      <c r="WD28" s="526">
        <f t="shared" si="130"/>
        <v>-354900</v>
      </c>
      <c r="WE28" s="521"/>
      <c r="WF28" s="521"/>
      <c r="WG28" s="1356">
        <f>'Проверочная  таблица'!VY28+'Проверочная  таблица'!WA28</f>
        <v>-31204900</v>
      </c>
      <c r="WH28" s="1356">
        <f>'Проверочная  таблица'!VZ28+'Проверочная  таблица'!WB28</f>
        <v>-15104900</v>
      </c>
      <c r="WI28" s="1481"/>
    </row>
    <row r="29" spans="1:607" s="329" customFormat="1" ht="25.5" customHeight="1" thickBot="1" x14ac:dyDescent="0.35">
      <c r="A29" s="340" t="s">
        <v>105</v>
      </c>
      <c r="B29" s="535">
        <f>D29+AI29+'Проверочная  таблица'!RS29+'Проверочная  таблица'!SW29</f>
        <v>561279008.07999992</v>
      </c>
      <c r="C29" s="534">
        <f>E29+'Проверочная  таблица'!RV29+AJ29+'Проверочная  таблица'!SX29</f>
        <v>441156962.58000004</v>
      </c>
      <c r="D29" s="533">
        <f t="shared" si="0"/>
        <v>106381123</v>
      </c>
      <c r="E29" s="919">
        <f t="shared" si="1"/>
        <v>87372475</v>
      </c>
      <c r="F29" s="1204">
        <f>'[1]Дотация  из  ОБ_факт'!I25+'[1]Дотация  из  ОБ_факт'!Q25</f>
        <v>48506100</v>
      </c>
      <c r="G29" s="1367">
        <v>42828000</v>
      </c>
      <c r="H29" s="1205">
        <f>'[1]Дотация  из  ОБ_факт'!K25</f>
        <v>36631700</v>
      </c>
      <c r="I29" s="1367">
        <v>27497600</v>
      </c>
      <c r="J29" s="921">
        <f t="shared" si="2"/>
        <v>36191400</v>
      </c>
      <c r="K29" s="922">
        <f>I29-M29</f>
        <v>27167600</v>
      </c>
      <c r="L29" s="1206">
        <f>'[1]Дотация  из  ОБ_факт'!O25</f>
        <v>440300</v>
      </c>
      <c r="M29" s="1364">
        <v>330000</v>
      </c>
      <c r="N29" s="1205">
        <f>'[1]Дотация  из  ОБ_факт'!U25</f>
        <v>661748</v>
      </c>
      <c r="O29" s="1367">
        <v>347000</v>
      </c>
      <c r="P29" s="1207">
        <f>'[1]Дотация  из  ОБ_факт'!W25</f>
        <v>15572100</v>
      </c>
      <c r="Q29" s="1367">
        <v>11690400</v>
      </c>
      <c r="R29" s="1053">
        <f t="shared" si="4"/>
        <v>14785700</v>
      </c>
      <c r="S29" s="1052">
        <f t="shared" si="5"/>
        <v>11099400</v>
      </c>
      <c r="T29" s="1060">
        <f>'[1]Дотация  из  ОБ_факт'!AA25</f>
        <v>786400</v>
      </c>
      <c r="U29" s="1367">
        <v>591000</v>
      </c>
      <c r="V29" s="1057">
        <f>'[1]Дотация  из  ОБ_факт'!AE25+'[1]Дотация  из  ОБ_факт'!AG25+'[1]Дотация  из  ОБ_факт'!AK25</f>
        <v>2909475</v>
      </c>
      <c r="W29" s="444">
        <f t="shared" si="6"/>
        <v>2909475</v>
      </c>
      <c r="X29" s="1054"/>
      <c r="Y29" s="1364">
        <v>1500000</v>
      </c>
      <c r="Z29" s="1054">
        <v>1409475</v>
      </c>
      <c r="AA29" s="1055">
        <f>'[1]Дотация  из  ОБ_факт'!AC25+'[1]Дотация  из  ОБ_факт'!AI25</f>
        <v>2100000</v>
      </c>
      <c r="AB29" s="166">
        <f t="shared" si="7"/>
        <v>2100000</v>
      </c>
      <c r="AC29" s="1364">
        <v>300000</v>
      </c>
      <c r="AD29" s="1364">
        <v>1800000</v>
      </c>
      <c r="AE29" s="1052">
        <f t="shared" si="8"/>
        <v>300000</v>
      </c>
      <c r="AF29" s="1053">
        <f t="shared" si="9"/>
        <v>300000</v>
      </c>
      <c r="AG29" s="1368">
        <f>'[1]Дотация  из  ОБ_факт'!AI25</f>
        <v>1800000</v>
      </c>
      <c r="AH29" s="1371">
        <f t="shared" si="131"/>
        <v>1800000</v>
      </c>
      <c r="AI29" s="559">
        <f>'Проверочная  таблица'!KI29+NU29+OA29+'Проверочная  таблица'!RK29+'Проверочная  таблица'!RM29+DE29+DG29+DM29+DO29+'Проверочная  таблица'!MY29+'Проверочная  таблица'!NC29+CG29+CQ29+'Проверочная  таблица'!HE29+'Проверочная  таблица'!HW29+'Проверочная  таблица'!ES29+'Проверочная  таблица'!JY29+DU29+'Проверочная  таблица'!GA29+'Проверочная  таблица'!GG29+'Проверочная  таблица'!LG29+'Проверочная  таблица'!LU29+FU29+'Проверочная  таблица'!KU29+RI29+OS29+PG29+EK29+AK29+AW29+FO29+FE29+GY29+EY29</f>
        <v>129431605.08</v>
      </c>
      <c r="AJ29" s="487">
        <f>'Проверочная  таблица'!KO29+NX29+OD29+'Проверочная  таблица'!RL29+'Проверочная  таблица'!RN29+DF29+DH29+DN29+DP29+'Проверочная  таблица'!NA29+'Проверочная  таблица'!NF29+CL29+CV29+'Проверочная  таблица'!HN29+'Проверочная  таблица'!IF29+'Проверочная  таблица'!EV29+'Проверочная  таблица'!KD29+EC29+'Проверочная  таблица'!GD29+'Проверочная  таблица'!GJ29+'Проверочная  таблица'!LN29+'Проверочная  таблица'!LZ29+FX29+'Проверочная  таблица'!KY29+FR29+RJ29+PP29+OZ29+EM29+AQ29+BC29+FJ29+HB29+FB29</f>
        <v>106193965.28</v>
      </c>
      <c r="AK29" s="487">
        <f t="shared" si="10"/>
        <v>0</v>
      </c>
      <c r="AL29" s="334">
        <f>[1]Субсидия_факт!CO27</f>
        <v>0</v>
      </c>
      <c r="AM29" s="1072">
        <f>[1]Субсидия_факт!FK27</f>
        <v>0</v>
      </c>
      <c r="AN29" s="499">
        <f>[1]Субсидия_факт!FW27</f>
        <v>0</v>
      </c>
      <c r="AO29" s="1072">
        <f>[1]Субсидия_факт!KA27</f>
        <v>0</v>
      </c>
      <c r="AP29" s="334">
        <f>[1]Субсидия_факт!LE27</f>
        <v>0</v>
      </c>
      <c r="AQ29" s="487">
        <f t="shared" si="11"/>
        <v>0</v>
      </c>
      <c r="AR29" s="952"/>
      <c r="AS29" s="952"/>
      <c r="AT29" s="952"/>
      <c r="AU29" s="952"/>
      <c r="AV29" s="952"/>
      <c r="AW29" s="487">
        <f t="shared" si="132"/>
        <v>0</v>
      </c>
      <c r="AX29" s="453">
        <f>[1]Субсидия_факт!CQ27</f>
        <v>0</v>
      </c>
      <c r="AY29" s="334">
        <f>[1]Субсидия_факт!FO27</f>
        <v>0</v>
      </c>
      <c r="AZ29" s="998">
        <f>[1]Субсидия_факт!JK27</f>
        <v>0</v>
      </c>
      <c r="BA29" s="497">
        <f>[1]Субсидия_факт!KC27</f>
        <v>0</v>
      </c>
      <c r="BB29" s="499">
        <f>[1]Субсидия_факт!LG27</f>
        <v>0</v>
      </c>
      <c r="BC29" s="487">
        <f t="shared" si="133"/>
        <v>0</v>
      </c>
      <c r="BD29" s="540"/>
      <c r="BE29" s="540"/>
      <c r="BF29" s="951"/>
      <c r="BG29" s="541"/>
      <c r="BH29" s="540"/>
      <c r="BI29" s="657">
        <f t="shared" si="134"/>
        <v>0</v>
      </c>
      <c r="BJ29" s="1109">
        <f t="shared" si="12"/>
        <v>0</v>
      </c>
      <c r="BK29" s="453">
        <f t="shared" si="13"/>
        <v>0</v>
      </c>
      <c r="BL29" s="453">
        <f t="shared" si="14"/>
        <v>0</v>
      </c>
      <c r="BM29" s="334">
        <f t="shared" si="15"/>
        <v>0</v>
      </c>
      <c r="BN29" s="1289">
        <f t="shared" si="16"/>
        <v>0</v>
      </c>
      <c r="BO29" s="657">
        <f t="shared" si="135"/>
        <v>0</v>
      </c>
      <c r="BP29" s="608">
        <f t="shared" si="17"/>
        <v>0</v>
      </c>
      <c r="BQ29" s="497">
        <f t="shared" si="18"/>
        <v>0</v>
      </c>
      <c r="BR29" s="334">
        <f t="shared" si="19"/>
        <v>0</v>
      </c>
      <c r="BS29" s="431">
        <f t="shared" si="20"/>
        <v>0</v>
      </c>
      <c r="BT29" s="334">
        <f t="shared" si="21"/>
        <v>0</v>
      </c>
      <c r="BU29" s="657">
        <f t="shared" si="136"/>
        <v>0</v>
      </c>
      <c r="BV29" s="453">
        <f>[1]Субсидия_факт!CS27</f>
        <v>0</v>
      </c>
      <c r="BW29" s="334">
        <f>[1]Субсидия_факт!FQ27</f>
        <v>0</v>
      </c>
      <c r="BX29" s="998">
        <f>[1]Субсидия_факт!JM27</f>
        <v>0</v>
      </c>
      <c r="BY29" s="431">
        <f>[1]Субсидия_факт!KE27</f>
        <v>0</v>
      </c>
      <c r="BZ29" s="334">
        <f>[1]Субсидия_факт!LI27</f>
        <v>0</v>
      </c>
      <c r="CA29" s="659">
        <f t="shared" si="137"/>
        <v>0</v>
      </c>
      <c r="CB29" s="995"/>
      <c r="CC29" s="540"/>
      <c r="CD29" s="952"/>
      <c r="CE29" s="540"/>
      <c r="CF29" s="540"/>
      <c r="CG29" s="534">
        <f t="shared" si="22"/>
        <v>31088992</v>
      </c>
      <c r="CH29" s="431">
        <f>[1]Субсидия_факт!LM27</f>
        <v>0</v>
      </c>
      <c r="CI29" s="453">
        <f>[1]Субсидия_факт!LS27</f>
        <v>31088992</v>
      </c>
      <c r="CJ29" s="334">
        <f>[1]Субсидия_факт!ME27</f>
        <v>0</v>
      </c>
      <c r="CK29" s="511">
        <f>[1]Субсидия_факт!MK27</f>
        <v>0</v>
      </c>
      <c r="CL29" s="534">
        <f t="shared" si="23"/>
        <v>25451873.149999999</v>
      </c>
      <c r="CM29" s="540"/>
      <c r="CN29" s="540">
        <v>25451873.149999999</v>
      </c>
      <c r="CO29" s="540"/>
      <c r="CP29" s="853"/>
      <c r="CQ29" s="534">
        <f t="shared" si="24"/>
        <v>0</v>
      </c>
      <c r="CR29" s="453">
        <f>[1]Субсидия_факт!LO27</f>
        <v>0</v>
      </c>
      <c r="CS29" s="453">
        <f>[1]Субсидия_факт!LU27</f>
        <v>0</v>
      </c>
      <c r="CT29" s="334">
        <f>[1]Субсидия_факт!MG27</f>
        <v>0</v>
      </c>
      <c r="CU29" s="511">
        <f>[1]Субсидия_факт!MM27</f>
        <v>0</v>
      </c>
      <c r="CV29" s="534">
        <f t="shared" si="25"/>
        <v>0</v>
      </c>
      <c r="CW29" s="540"/>
      <c r="CX29" s="541"/>
      <c r="CY29" s="995"/>
      <c r="CZ29" s="903"/>
      <c r="DA29" s="538">
        <f t="shared" si="138"/>
        <v>0</v>
      </c>
      <c r="DB29" s="537">
        <f t="shared" si="139"/>
        <v>0</v>
      </c>
      <c r="DC29" s="536">
        <f t="shared" si="140"/>
        <v>0</v>
      </c>
      <c r="DD29" s="538">
        <f t="shared" si="141"/>
        <v>0</v>
      </c>
      <c r="DE29" s="535">
        <f>[1]Субсидия_факт!GC27</f>
        <v>0</v>
      </c>
      <c r="DF29" s="1258"/>
      <c r="DG29" s="533">
        <f>[1]Субсидия_факт!GE27</f>
        <v>0</v>
      </c>
      <c r="DH29" s="1258"/>
      <c r="DI29" s="1259">
        <f t="shared" si="142"/>
        <v>0</v>
      </c>
      <c r="DJ29" s="1002">
        <f t="shared" si="143"/>
        <v>0</v>
      </c>
      <c r="DK29" s="1259">
        <f>[1]Субсидия_факт!GG27</f>
        <v>0</v>
      </c>
      <c r="DL29" s="1388">
        <f t="shared" si="144"/>
        <v>0</v>
      </c>
      <c r="DM29" s="1070">
        <f>[1]Субсидия_факт!GI27</f>
        <v>0</v>
      </c>
      <c r="DN29" s="950"/>
      <c r="DO29" s="534">
        <f>[1]Субсидия_факт!GK27</f>
        <v>0</v>
      </c>
      <c r="DP29" s="950"/>
      <c r="DQ29" s="537">
        <f t="shared" si="28"/>
        <v>0</v>
      </c>
      <c r="DR29" s="940">
        <f t="shared" si="29"/>
        <v>0</v>
      </c>
      <c r="DS29" s="653">
        <f t="shared" si="30"/>
        <v>0</v>
      </c>
      <c r="DT29" s="1385">
        <f t="shared" si="145"/>
        <v>0</v>
      </c>
      <c r="DU29" s="534">
        <f t="shared" si="31"/>
        <v>281250</v>
      </c>
      <c r="DV29" s="1072">
        <f>[1]Субсидия_факт!E27</f>
        <v>0</v>
      </c>
      <c r="DW29" s="1109">
        <f>[1]Субсидия_факт!G27</f>
        <v>0</v>
      </c>
      <c r="DX29" s="679">
        <f>[1]Субсидия_факт!I27</f>
        <v>0</v>
      </c>
      <c r="DY29" s="1037">
        <f>[1]Субсидия_факт!K27</f>
        <v>0</v>
      </c>
      <c r="DZ29" s="787">
        <f>[1]Субсидия_факт!M27</f>
        <v>0</v>
      </c>
      <c r="EA29" s="499">
        <f>[1]Субсидия_факт!O27</f>
        <v>0</v>
      </c>
      <c r="EB29" s="1037">
        <f>[1]Субсидия_факт!Q27</f>
        <v>281250</v>
      </c>
      <c r="EC29" s="1070">
        <f t="shared" si="32"/>
        <v>281250</v>
      </c>
      <c r="ED29" s="541"/>
      <c r="EE29" s="540"/>
      <c r="EF29" s="684"/>
      <c r="EG29" s="540"/>
      <c r="EH29" s="684"/>
      <c r="EI29" s="541"/>
      <c r="EJ29" s="608">
        <f t="shared" si="146"/>
        <v>281250</v>
      </c>
      <c r="EK29" s="1070">
        <f t="shared" si="147"/>
        <v>0</v>
      </c>
      <c r="EL29" s="1224">
        <f>[1]Субсидия_факт!S27</f>
        <v>0</v>
      </c>
      <c r="EM29" s="535">
        <f t="shared" si="147"/>
        <v>0</v>
      </c>
      <c r="EN29" s="608">
        <f t="shared" si="148"/>
        <v>0</v>
      </c>
      <c r="EO29" s="1002">
        <f t="shared" si="149"/>
        <v>0</v>
      </c>
      <c r="EP29" s="1067">
        <f t="shared" si="150"/>
        <v>0</v>
      </c>
      <c r="EQ29" s="1067">
        <f>[1]Субсидия_факт!U27</f>
        <v>0</v>
      </c>
      <c r="ER29" s="1246">
        <f t="shared" si="151"/>
        <v>0</v>
      </c>
      <c r="ES29" s="891">
        <f t="shared" si="33"/>
        <v>4181042</v>
      </c>
      <c r="ET29" s="511">
        <f>[1]Субсидия_факт!AU27</f>
        <v>1170692</v>
      </c>
      <c r="EU29" s="890">
        <f>[1]Субсидия_факт!AW27</f>
        <v>3010350</v>
      </c>
      <c r="EV29" s="894">
        <f t="shared" si="34"/>
        <v>0</v>
      </c>
      <c r="EW29" s="904"/>
      <c r="EX29" s="1166"/>
      <c r="EY29" s="891">
        <f t="shared" si="35"/>
        <v>0</v>
      </c>
      <c r="EZ29" s="511">
        <f>[1]Субсидия_факт!FY27</f>
        <v>0</v>
      </c>
      <c r="FA29" s="890">
        <f>[1]Субсидия_факт!GA27</f>
        <v>0</v>
      </c>
      <c r="FB29" s="894">
        <f t="shared" si="36"/>
        <v>0</v>
      </c>
      <c r="FC29" s="904"/>
      <c r="FD29" s="1166"/>
      <c r="FE29" s="534">
        <f t="shared" si="152"/>
        <v>0</v>
      </c>
      <c r="FF29" s="431">
        <f>[1]Субсидия_факт!W27</f>
        <v>0</v>
      </c>
      <c r="FG29" s="1024">
        <f>[1]Субсидия_факт!Y27</f>
        <v>0</v>
      </c>
      <c r="FH29" s="453">
        <f>[1]Субсидия_факт!AA27</f>
        <v>0</v>
      </c>
      <c r="FI29" s="687">
        <f>[1]Субсидия_факт!AC27</f>
        <v>0</v>
      </c>
      <c r="FJ29" s="1070">
        <f t="shared" si="153"/>
        <v>0</v>
      </c>
      <c r="FK29" s="1161"/>
      <c r="FL29" s="684"/>
      <c r="FM29" s="1161"/>
      <c r="FN29" s="684"/>
      <c r="FO29" s="891">
        <f t="shared" si="37"/>
        <v>0</v>
      </c>
      <c r="FP29" s="511">
        <f>[1]Субсидия_факт!AY27</f>
        <v>0</v>
      </c>
      <c r="FQ29" s="890">
        <f>[1]Субсидия_факт!BA27</f>
        <v>0</v>
      </c>
      <c r="FR29" s="894">
        <f t="shared" si="38"/>
        <v>0</v>
      </c>
      <c r="FS29" s="904"/>
      <c r="FT29" s="680"/>
      <c r="FU29" s="535">
        <f t="shared" si="154"/>
        <v>0</v>
      </c>
      <c r="FV29" s="1476">
        <f>[1]Субсидия_факт!EE27</f>
        <v>0</v>
      </c>
      <c r="FW29" s="1477">
        <f>[1]Субсидия_факт!EG27</f>
        <v>0</v>
      </c>
      <c r="FX29" s="871">
        <f t="shared" si="155"/>
        <v>0</v>
      </c>
      <c r="FY29" s="951"/>
      <c r="FZ29" s="997"/>
      <c r="GA29" s="902">
        <f t="shared" si="41"/>
        <v>0</v>
      </c>
      <c r="GB29" s="511">
        <f>[1]Субсидия_факт!DS27</f>
        <v>0</v>
      </c>
      <c r="GC29" s="890">
        <f>[1]Субсидия_факт!DY27</f>
        <v>0</v>
      </c>
      <c r="GD29" s="894">
        <f t="shared" si="42"/>
        <v>0</v>
      </c>
      <c r="GE29" s="903"/>
      <c r="GF29" s="680"/>
      <c r="GG29" s="894">
        <f t="shared" si="43"/>
        <v>1700000</v>
      </c>
      <c r="GH29" s="511">
        <f>[1]Субсидия_факт!DU27</f>
        <v>476002.34</v>
      </c>
      <c r="GI29" s="751">
        <f>[1]Субсидия_факт!EA27</f>
        <v>1223997.6599999999</v>
      </c>
      <c r="GJ29" s="894">
        <f t="shared" si="44"/>
        <v>1700000</v>
      </c>
      <c r="GK29" s="899">
        <f>GH29</f>
        <v>476002.34</v>
      </c>
      <c r="GL29" s="1478">
        <f>GI29</f>
        <v>1223997.6599999999</v>
      </c>
      <c r="GM29" s="895">
        <f t="shared" si="45"/>
        <v>1700000</v>
      </c>
      <c r="GN29" s="896">
        <f>'Проверочная  таблица'!GH29-'Проверочная  таблица'!GT29</f>
        <v>476002.34</v>
      </c>
      <c r="GO29" s="897">
        <f>'Проверочная  таблица'!GI29-'Проверочная  таблица'!GU29</f>
        <v>1223997.6599999999</v>
      </c>
      <c r="GP29" s="898">
        <f t="shared" si="46"/>
        <v>1700000</v>
      </c>
      <c r="GQ29" s="899">
        <f>'Проверочная  таблица'!GK29-'Проверочная  таблица'!GW29</f>
        <v>476002.34</v>
      </c>
      <c r="GR29" s="900">
        <f>'Проверочная  таблица'!GL29-'Проверочная  таблица'!GX29</f>
        <v>1223997.6599999999</v>
      </c>
      <c r="GS29" s="895">
        <f t="shared" si="47"/>
        <v>0</v>
      </c>
      <c r="GT29" s="511">
        <f>[1]Субсидия_факт!DW27</f>
        <v>0</v>
      </c>
      <c r="GU29" s="890">
        <f>[1]Субсидия_факт!EC27</f>
        <v>0</v>
      </c>
      <c r="GV29" s="895">
        <f t="shared" si="48"/>
        <v>0</v>
      </c>
      <c r="GW29" s="892"/>
      <c r="GX29" s="901"/>
      <c r="GY29" s="894">
        <f t="shared" si="49"/>
        <v>0</v>
      </c>
      <c r="GZ29" s="756">
        <f>[1]Субсидия_факт!AE27</f>
        <v>0</v>
      </c>
      <c r="HA29" s="671">
        <f>[1]Субсидия_факт!AG27</f>
        <v>0</v>
      </c>
      <c r="HB29" s="894">
        <f t="shared" si="50"/>
        <v>0</v>
      </c>
      <c r="HC29" s="756"/>
      <c r="HD29" s="671"/>
      <c r="HE29" s="747">
        <f t="shared" si="51"/>
        <v>40368.36</v>
      </c>
      <c r="HF29" s="756">
        <f>[1]Субсидия_факт!BW27</f>
        <v>0</v>
      </c>
      <c r="HG29" s="671">
        <f>[1]Субсидия_факт!CC27</f>
        <v>0</v>
      </c>
      <c r="HH29" s="511">
        <f>[1]Субсидия_факт!CU27</f>
        <v>36231.89</v>
      </c>
      <c r="HI29" s="890">
        <f>[1]Субсидия_факт!DA27</f>
        <v>4136.47</v>
      </c>
      <c r="HJ29" s="511">
        <f>[1]Субсидия_факт!DG27</f>
        <v>0</v>
      </c>
      <c r="HK29" s="890">
        <f>[1]Субсидия_факт!DM27</f>
        <v>0</v>
      </c>
      <c r="HL29" s="511">
        <f>[1]Субсидия_факт!EI27</f>
        <v>0</v>
      </c>
      <c r="HM29" s="751">
        <f>[1]Субсидия_факт!EO27</f>
        <v>0</v>
      </c>
      <c r="HN29" s="747">
        <f t="shared" si="52"/>
        <v>40368.36</v>
      </c>
      <c r="HO29" s="853"/>
      <c r="HP29" s="680"/>
      <c r="HQ29" s="756">
        <f t="shared" si="156"/>
        <v>36231.89</v>
      </c>
      <c r="HR29" s="768">
        <f t="shared" si="188"/>
        <v>4136.47</v>
      </c>
      <c r="HS29" s="756">
        <f t="shared" si="157"/>
        <v>0</v>
      </c>
      <c r="HT29" s="1480">
        <f t="shared" si="158"/>
        <v>0</v>
      </c>
      <c r="HU29" s="853"/>
      <c r="HV29" s="680"/>
      <c r="HW29" s="747">
        <f t="shared" si="53"/>
        <v>0</v>
      </c>
      <c r="HX29" s="756">
        <f>[1]Субсидия_факт!BY27</f>
        <v>0</v>
      </c>
      <c r="HY29" s="671">
        <f>[1]Субсидия_факт!CE27</f>
        <v>0</v>
      </c>
      <c r="HZ29" s="511">
        <f>[1]Субсидия_факт!CW27</f>
        <v>0</v>
      </c>
      <c r="IA29" s="751">
        <f>[1]Субсидия_факт!DC27</f>
        <v>0</v>
      </c>
      <c r="IB29" s="511">
        <f>[1]Субсидия_факт!DI27</f>
        <v>0</v>
      </c>
      <c r="IC29" s="890">
        <f>[1]Субсидия_факт!DO27</f>
        <v>0</v>
      </c>
      <c r="ID29" s="511">
        <f>[1]Субсидия_факт!EK27</f>
        <v>0</v>
      </c>
      <c r="IE29" s="751">
        <f>[1]Субсидия_факт!EQ27</f>
        <v>0</v>
      </c>
      <c r="IF29" s="747">
        <f t="shared" si="54"/>
        <v>0</v>
      </c>
      <c r="IG29" s="853"/>
      <c r="IH29" s="680"/>
      <c r="II29" s="749">
        <f t="shared" si="159"/>
        <v>0</v>
      </c>
      <c r="IJ29" s="671">
        <f t="shared" si="160"/>
        <v>0</v>
      </c>
      <c r="IK29" s="904"/>
      <c r="IL29" s="680"/>
      <c r="IM29" s="853"/>
      <c r="IN29" s="680"/>
      <c r="IO29" s="750">
        <f t="shared" si="55"/>
        <v>0</v>
      </c>
      <c r="IP29" s="899">
        <f>'Проверочная  таблица'!HX29-JH29</f>
        <v>0</v>
      </c>
      <c r="IQ29" s="897">
        <f>'Проверочная  таблица'!HY29-JI29</f>
        <v>0</v>
      </c>
      <c r="IR29" s="899">
        <f>'Проверочная  таблица'!HZ29-JJ29</f>
        <v>0</v>
      </c>
      <c r="IS29" s="897">
        <f>'Проверочная  таблица'!IA29-JK29</f>
        <v>0</v>
      </c>
      <c r="IT29" s="896">
        <f>'Проверочная  таблица'!IB29-JL29</f>
        <v>0</v>
      </c>
      <c r="IU29" s="897">
        <f>'Проверочная  таблица'!IC29-JM29</f>
        <v>0</v>
      </c>
      <c r="IV29" s="899">
        <f>'Проверочная  таблица'!ID29-JN29</f>
        <v>0</v>
      </c>
      <c r="IW29" s="897">
        <f>'Проверочная  таблица'!IE29-JO29</f>
        <v>0</v>
      </c>
      <c r="IX29" s="750">
        <f t="shared" si="56"/>
        <v>0</v>
      </c>
      <c r="IY29" s="1106">
        <f>'Проверочная  таблица'!IG29-JQ29</f>
        <v>0</v>
      </c>
      <c r="IZ29" s="1107">
        <f>'Проверочная  таблица'!IH29-JR29</f>
        <v>0</v>
      </c>
      <c r="JA29" s="899">
        <f>'Проверочная  таблица'!II29-JS29</f>
        <v>0</v>
      </c>
      <c r="JB29" s="900">
        <f>'Проверочная  таблица'!IJ29-JT29</f>
        <v>0</v>
      </c>
      <c r="JC29" s="899">
        <f>'Проверочная  таблица'!IK29-JU29</f>
        <v>0</v>
      </c>
      <c r="JD29" s="900">
        <f>'Проверочная  таблица'!IL29-JV29</f>
        <v>0</v>
      </c>
      <c r="JE29" s="899">
        <f>'Проверочная  таблица'!IM29-JW29</f>
        <v>0</v>
      </c>
      <c r="JF29" s="900">
        <f>'Проверочная  таблица'!IN29-JX29</f>
        <v>0</v>
      </c>
      <c r="JG29" s="659">
        <f t="shared" si="57"/>
        <v>0</v>
      </c>
      <c r="JH29" s="756">
        <f>[1]Субсидия_факт!CA27</f>
        <v>0</v>
      </c>
      <c r="JI29" s="671">
        <f>[1]Субсидия_факт!CG27</f>
        <v>0</v>
      </c>
      <c r="JJ29" s="511">
        <f>[1]Субсидия_факт!CY27</f>
        <v>0</v>
      </c>
      <c r="JK29" s="751">
        <f>[1]Субсидия_факт!DE27</f>
        <v>0</v>
      </c>
      <c r="JL29" s="511">
        <f>[1]Субсидия_факт!DK27</f>
        <v>0</v>
      </c>
      <c r="JM29" s="890">
        <f>[1]Субсидия_факт!DQ27</f>
        <v>0</v>
      </c>
      <c r="JN29" s="511">
        <f>[1]Субсидия_факт!EM27</f>
        <v>0</v>
      </c>
      <c r="JO29" s="751">
        <f>[1]Субсидия_факт!ES27</f>
        <v>0</v>
      </c>
      <c r="JP29" s="750">
        <f t="shared" si="58"/>
        <v>0</v>
      </c>
      <c r="JQ29" s="853"/>
      <c r="JR29" s="680"/>
      <c r="JS29" s="906"/>
      <c r="JT29" s="905"/>
      <c r="JU29" s="906"/>
      <c r="JV29" s="907"/>
      <c r="JW29" s="853"/>
      <c r="JX29" s="680"/>
      <c r="JY29" s="454">
        <f t="shared" si="161"/>
        <v>0</v>
      </c>
      <c r="JZ29" s="892">
        <v>0</v>
      </c>
      <c r="KA29" s="893">
        <v>0</v>
      </c>
      <c r="KB29" s="511">
        <f>[1]Субсидия_факт!BG27</f>
        <v>0</v>
      </c>
      <c r="KC29" s="890">
        <f>[1]Субсидия_факт!BI27</f>
        <v>0</v>
      </c>
      <c r="KD29" s="454">
        <f t="shared" si="162"/>
        <v>0</v>
      </c>
      <c r="KE29" s="853"/>
      <c r="KF29" s="680"/>
      <c r="KG29" s="853"/>
      <c r="KH29" s="680"/>
      <c r="KI29" s="524">
        <f t="shared" si="59"/>
        <v>427032.13</v>
      </c>
      <c r="KJ29" s="511">
        <f>[1]Субсидия_факт!HO27</f>
        <v>427032.13</v>
      </c>
      <c r="KK29" s="1072">
        <f>[1]Субсидия_факт!HQ27</f>
        <v>0</v>
      </c>
      <c r="KL29" s="687">
        <f>[1]Субсидия_факт!HS27</f>
        <v>0</v>
      </c>
      <c r="KM29" s="1037">
        <f>[1]Субсидия_факт!IC27</f>
        <v>0</v>
      </c>
      <c r="KN29" s="687">
        <f>[1]Субсидия_факт!IE27</f>
        <v>0</v>
      </c>
      <c r="KO29" s="487">
        <f t="shared" si="163"/>
        <v>427032.13</v>
      </c>
      <c r="KP29" s="756">
        <f t="shared" si="164"/>
        <v>427032.13</v>
      </c>
      <c r="KQ29" s="951"/>
      <c r="KR29" s="803"/>
      <c r="KS29" s="952"/>
      <c r="KT29" s="803"/>
      <c r="KU29" s="454">
        <f t="shared" si="60"/>
        <v>0</v>
      </c>
      <c r="KV29" s="513">
        <f>[1]Субсидия_факт!HY27</f>
        <v>0</v>
      </c>
      <c r="KW29" s="513">
        <f>[1]Субсидия_факт!HU27</f>
        <v>0</v>
      </c>
      <c r="KX29" s="751">
        <f>[1]Субсидия_факт!HW27</f>
        <v>0</v>
      </c>
      <c r="KY29" s="454">
        <f t="shared" si="61"/>
        <v>0</v>
      </c>
      <c r="KZ29" s="756">
        <f t="shared" si="165"/>
        <v>0</v>
      </c>
      <c r="LA29" s="853"/>
      <c r="LB29" s="680"/>
      <c r="LC29" s="886">
        <f t="shared" si="62"/>
        <v>0</v>
      </c>
      <c r="LD29" s="886">
        <f t="shared" si="63"/>
        <v>0</v>
      </c>
      <c r="LE29" s="657">
        <f t="shared" si="64"/>
        <v>0</v>
      </c>
      <c r="LF29" s="1038">
        <f t="shared" si="65"/>
        <v>0</v>
      </c>
      <c r="LG29" s="753">
        <f t="shared" si="166"/>
        <v>0</v>
      </c>
      <c r="LH29" s="511">
        <f>[1]Субсидия_факт!OG27</f>
        <v>0</v>
      </c>
      <c r="LI29" s="890">
        <f>[1]Субсидия_факт!OM27</f>
        <v>0</v>
      </c>
      <c r="LJ29" s="511">
        <f>[1]Субсидия_факт!OS27</f>
        <v>0</v>
      </c>
      <c r="LK29" s="890">
        <f>[1]Субсидия_факт!OY27</f>
        <v>0</v>
      </c>
      <c r="LL29" s="756">
        <f>[1]Субсидия_факт!PE27</f>
        <v>0</v>
      </c>
      <c r="LM29" s="768">
        <f>[1]Субсидия_факт!PI27</f>
        <v>0</v>
      </c>
      <c r="LN29" s="753">
        <f t="shared" si="66"/>
        <v>0</v>
      </c>
      <c r="LO29" s="904"/>
      <c r="LP29" s="680"/>
      <c r="LQ29" s="853"/>
      <c r="LR29" s="767"/>
      <c r="LS29" s="853"/>
      <c r="LT29" s="767"/>
      <c r="LU29" s="909">
        <f t="shared" si="67"/>
        <v>4500000</v>
      </c>
      <c r="LV29" s="511">
        <f>[1]Субсидия_факт!OI27</f>
        <v>225000</v>
      </c>
      <c r="LW29" s="890">
        <f>[1]Субсидия_факт!OO27</f>
        <v>4275000</v>
      </c>
      <c r="LX29" s="513">
        <f>[1]Субсидия_факт!OU27</f>
        <v>0</v>
      </c>
      <c r="LY29" s="751">
        <f>[1]Субсидия_факт!PA27</f>
        <v>0</v>
      </c>
      <c r="LZ29" s="910">
        <f t="shared" si="68"/>
        <v>4173872</v>
      </c>
      <c r="MA29" s="853">
        <v>208693.6</v>
      </c>
      <c r="MB29" s="767">
        <f>4173872-MA29</f>
        <v>3965178.4</v>
      </c>
      <c r="MC29" s="853"/>
      <c r="MD29" s="680"/>
      <c r="ME29" s="911">
        <f t="shared" si="69"/>
        <v>0</v>
      </c>
      <c r="MF29" s="912">
        <f>'Проверочная  таблица'!LV29-MP29</f>
        <v>0</v>
      </c>
      <c r="MG29" s="913">
        <f>'Проверочная  таблица'!LW29-MQ29</f>
        <v>0</v>
      </c>
      <c r="MH29" s="914">
        <f>'Проверочная  таблица'!LY29-MR29</f>
        <v>0</v>
      </c>
      <c r="MI29" s="915">
        <f>'Проверочная  таблица'!LX29-MS29</f>
        <v>0</v>
      </c>
      <c r="MJ29" s="916">
        <f t="shared" si="70"/>
        <v>0</v>
      </c>
      <c r="MK29" s="896">
        <f>'Проверочная  таблица'!MA29-MU29</f>
        <v>0</v>
      </c>
      <c r="ML29" s="897">
        <f>'Проверочная  таблица'!MB29-MV29</f>
        <v>0</v>
      </c>
      <c r="MM29" s="900">
        <f>'Проверочная  таблица'!MD29-MW29</f>
        <v>0</v>
      </c>
      <c r="MN29" s="899">
        <f>'Проверочная  таблица'!MC29-MX29</f>
        <v>0</v>
      </c>
      <c r="MO29" s="917">
        <f t="shared" si="71"/>
        <v>4500000</v>
      </c>
      <c r="MP29" s="511">
        <f>[1]Субсидия_факт!OK27</f>
        <v>225000</v>
      </c>
      <c r="MQ29" s="890">
        <f>[1]Субсидия_факт!OQ27</f>
        <v>4275000</v>
      </c>
      <c r="MR29" s="890">
        <f>[1]Субсидия_факт!PC27</f>
        <v>0</v>
      </c>
      <c r="MS29" s="511">
        <f>[1]Субсидия_факт!OW27</f>
        <v>0</v>
      </c>
      <c r="MT29" s="916">
        <f t="shared" si="72"/>
        <v>4173872</v>
      </c>
      <c r="MU29" s="749">
        <f t="shared" si="167"/>
        <v>208693.6</v>
      </c>
      <c r="MV29" s="671">
        <f t="shared" si="168"/>
        <v>3965178.4</v>
      </c>
      <c r="MW29" s="768">
        <f t="shared" si="169"/>
        <v>0</v>
      </c>
      <c r="MX29" s="756">
        <f t="shared" si="73"/>
        <v>0</v>
      </c>
      <c r="MY29" s="919">
        <f>SUM('Проверочная  таблица'!MZ29:MZ29)</f>
        <v>0</v>
      </c>
      <c r="MZ29" s="951"/>
      <c r="NA29" s="919">
        <f>SUM('Проверочная  таблица'!NB29:NB29)</f>
        <v>0</v>
      </c>
      <c r="NB29" s="952"/>
      <c r="NC29" s="535">
        <f t="shared" si="74"/>
        <v>0</v>
      </c>
      <c r="ND29" s="453">
        <f>[1]Субсидия_факт!IU27</f>
        <v>0</v>
      </c>
      <c r="NE29" s="687">
        <f>[1]Субсидия_факт!IY27</f>
        <v>0</v>
      </c>
      <c r="NF29" s="534">
        <f t="shared" si="75"/>
        <v>0</v>
      </c>
      <c r="NG29" s="951"/>
      <c r="NH29" s="953"/>
      <c r="NI29" s="1002">
        <f t="shared" si="76"/>
        <v>0</v>
      </c>
      <c r="NJ29" s="1001">
        <f>'Проверочная  таблица'!ND29-NP29</f>
        <v>0</v>
      </c>
      <c r="NK29" s="679">
        <f>'Проверочная  таблица'!NE29-NQ29</f>
        <v>0</v>
      </c>
      <c r="NL29" s="1002">
        <f t="shared" si="77"/>
        <v>0</v>
      </c>
      <c r="NM29" s="998">
        <f>'Проверочная  таблица'!NG29-NS29</f>
        <v>0</v>
      </c>
      <c r="NN29" s="679">
        <f>'Проверочная  таблица'!NH29-NT29</f>
        <v>0</v>
      </c>
      <c r="NO29" s="1067">
        <f t="shared" si="78"/>
        <v>0</v>
      </c>
      <c r="NP29" s="453">
        <f>[1]Субсидия_факт!IW27</f>
        <v>0</v>
      </c>
      <c r="NQ29" s="687">
        <f>[1]Субсидия_факт!JA27</f>
        <v>0</v>
      </c>
      <c r="NR29" s="1002">
        <f t="shared" si="79"/>
        <v>0</v>
      </c>
      <c r="NS29" s="954"/>
      <c r="NT29" s="955"/>
      <c r="NU29" s="534">
        <f t="shared" si="170"/>
        <v>0</v>
      </c>
      <c r="NV29" s="334">
        <f>[1]Субсидия_факт!FA27</f>
        <v>0</v>
      </c>
      <c r="NW29" s="787">
        <f>[1]Субсидия_факт!FC27</f>
        <v>0</v>
      </c>
      <c r="NX29" s="534">
        <f t="shared" si="171"/>
        <v>0</v>
      </c>
      <c r="NY29" s="952"/>
      <c r="NZ29" s="803"/>
      <c r="OA29" s="534">
        <f t="shared" si="172"/>
        <v>0</v>
      </c>
      <c r="OD29" s="534">
        <f t="shared" si="173"/>
        <v>0</v>
      </c>
      <c r="OG29" s="537">
        <f t="shared" si="174"/>
        <v>0</v>
      </c>
      <c r="OJ29" s="537">
        <f t="shared" si="175"/>
        <v>0</v>
      </c>
      <c r="OM29" s="537">
        <f t="shared" si="176"/>
        <v>0</v>
      </c>
      <c r="OP29" s="537">
        <f t="shared" si="177"/>
        <v>0</v>
      </c>
      <c r="OS29" s="535">
        <f t="shared" si="80"/>
        <v>0</v>
      </c>
      <c r="OT29" s="499">
        <f>[1]Субсидия_факт!JO27</f>
        <v>0</v>
      </c>
      <c r="OU29" s="787">
        <f>[1]Субсидия_факт!JQ27</f>
        <v>0</v>
      </c>
      <c r="OV29" s="334">
        <f>[1]Субсидия_факт!KS27</f>
        <v>0</v>
      </c>
      <c r="OW29" s="687">
        <f>[1]Субсидия_факт!KY27</f>
        <v>0</v>
      </c>
      <c r="OX29" s="499">
        <f>[1]Субсидия_факт!KG27</f>
        <v>0</v>
      </c>
      <c r="OY29" s="787">
        <f>[1]Субсидия_факт!KM27</f>
        <v>0</v>
      </c>
      <c r="OZ29" s="534">
        <f t="shared" si="81"/>
        <v>0</v>
      </c>
      <c r="PA29" s="952"/>
      <c r="PB29" s="803"/>
      <c r="PC29" s="951"/>
      <c r="PD29" s="997"/>
      <c r="PE29" s="952"/>
      <c r="PF29" s="956"/>
      <c r="PG29" s="535">
        <f t="shared" si="82"/>
        <v>0</v>
      </c>
      <c r="PH29" s="499">
        <f>[1]Субсидия_факт!JC27</f>
        <v>0</v>
      </c>
      <c r="PI29" s="1024">
        <f>[1]Субсидия_факт!JG27</f>
        <v>0</v>
      </c>
      <c r="PJ29" s="998">
        <f>[1]Субсидия_факт!JS27</f>
        <v>0</v>
      </c>
      <c r="PK29" s="679">
        <f>[1]Субсидия_факт!JW27</f>
        <v>0</v>
      </c>
      <c r="PL29" s="499">
        <f>[1]Субсидия_факт!KU27</f>
        <v>0</v>
      </c>
      <c r="PM29" s="946">
        <f>[1]Субсидия_факт!LA27</f>
        <v>0</v>
      </c>
      <c r="PN29" s="499">
        <f>[1]Субсидия_факт!KI27</f>
        <v>0</v>
      </c>
      <c r="PO29" s="687">
        <f>[1]Субсидия_факт!KO27</f>
        <v>0</v>
      </c>
      <c r="PP29" s="534">
        <f t="shared" si="83"/>
        <v>0</v>
      </c>
      <c r="PQ29" s="540"/>
      <c r="PR29" s="772"/>
      <c r="PS29" s="952"/>
      <c r="PT29" s="803"/>
      <c r="PU29" s="540"/>
      <c r="PV29" s="775"/>
      <c r="PW29" s="540"/>
      <c r="PX29" s="684"/>
      <c r="PY29" s="1002">
        <f t="shared" si="84"/>
        <v>0</v>
      </c>
      <c r="PZ29" s="453">
        <f t="shared" si="85"/>
        <v>0</v>
      </c>
      <c r="QA29" s="687">
        <f t="shared" si="86"/>
        <v>0</v>
      </c>
      <c r="QB29" s="431">
        <f t="shared" si="87"/>
        <v>0</v>
      </c>
      <c r="QC29" s="687">
        <f t="shared" si="88"/>
        <v>0</v>
      </c>
      <c r="QD29" s="334">
        <f t="shared" si="89"/>
        <v>0</v>
      </c>
      <c r="QE29" s="687">
        <f t="shared" si="90"/>
        <v>0</v>
      </c>
      <c r="QF29" s="431">
        <f t="shared" si="91"/>
        <v>0</v>
      </c>
      <c r="QG29" s="687">
        <f t="shared" si="92"/>
        <v>0</v>
      </c>
      <c r="QH29" s="1067">
        <f t="shared" si="93"/>
        <v>0</v>
      </c>
      <c r="QI29" s="453">
        <f t="shared" si="94"/>
        <v>0</v>
      </c>
      <c r="QJ29" s="687">
        <f t="shared" si="95"/>
        <v>0</v>
      </c>
      <c r="QK29" s="431">
        <f t="shared" si="96"/>
        <v>0</v>
      </c>
      <c r="QL29" s="687">
        <f t="shared" si="97"/>
        <v>0</v>
      </c>
      <c r="QM29" s="334">
        <f t="shared" si="98"/>
        <v>0</v>
      </c>
      <c r="QN29" s="787">
        <f t="shared" si="99"/>
        <v>0</v>
      </c>
      <c r="QO29" s="334">
        <f t="shared" si="100"/>
        <v>0</v>
      </c>
      <c r="QP29" s="687">
        <f t="shared" si="101"/>
        <v>0</v>
      </c>
      <c r="QQ29" s="1002">
        <f t="shared" si="102"/>
        <v>0</v>
      </c>
      <c r="QR29" s="431">
        <f>[1]Субсидия_факт!JE27</f>
        <v>0</v>
      </c>
      <c r="QS29" s="1024">
        <f>[1]Субсидия_факт!JI27</f>
        <v>0</v>
      </c>
      <c r="QT29" s="608">
        <f>[1]Субсидия_факт!JU27</f>
        <v>0</v>
      </c>
      <c r="QU29" s="679">
        <f>[1]Субсидия_факт!JY27</f>
        <v>0</v>
      </c>
      <c r="QV29" s="334">
        <f>[1]Субсидия_факт!KW27</f>
        <v>0</v>
      </c>
      <c r="QW29" s="946">
        <f>[1]Субсидия_факт!LC27</f>
        <v>0</v>
      </c>
      <c r="QX29" s="334">
        <f>[1]Субсидия_факт!KK27</f>
        <v>0</v>
      </c>
      <c r="QY29" s="687">
        <f>[1]Субсидия_факт!KQ27</f>
        <v>0</v>
      </c>
      <c r="QZ29" s="1002">
        <f t="shared" si="103"/>
        <v>0</v>
      </c>
      <c r="RA29" s="541"/>
      <c r="RB29" s="679"/>
      <c r="RC29" s="952"/>
      <c r="RD29" s="803"/>
      <c r="RE29" s="541"/>
      <c r="RF29" s="1184"/>
      <c r="RG29" s="540"/>
      <c r="RH29" s="1155"/>
      <c r="RI29" s="487">
        <f>[1]Субсидия_факт!PW27</f>
        <v>26989721.780000001</v>
      </c>
      <c r="RJ29" s="1241">
        <f t="shared" si="178"/>
        <v>26989721.780000001</v>
      </c>
      <c r="RK29" s="918">
        <f>'Прочая  субсидия_МР  и  ГО'!B25</f>
        <v>23460426.610000003</v>
      </c>
      <c r="RL29" s="871">
        <f>'Прочая  субсидия_МР  и  ГО'!C25</f>
        <v>16474339.959999999</v>
      </c>
      <c r="RM29" s="918">
        <f>'Прочая  субсидия_БП'!B25</f>
        <v>36762772.200000003</v>
      </c>
      <c r="RN29" s="919">
        <f>'Прочая  субсидия_БП'!C25</f>
        <v>30655507.900000002</v>
      </c>
      <c r="RO29" s="920">
        <f>'Прочая  субсидия_БП'!D25</f>
        <v>16839616.949999999</v>
      </c>
      <c r="RP29" s="921">
        <f>'Прочая  субсидия_БП'!E25</f>
        <v>11639489.309999999</v>
      </c>
      <c r="RQ29" s="922">
        <f>'Прочая  субсидия_БП'!F25</f>
        <v>19923155.25</v>
      </c>
      <c r="RR29" s="921">
        <f>'Прочая  субсидия_БП'!G25</f>
        <v>19016018.590000004</v>
      </c>
      <c r="RS29" s="891">
        <f t="shared" si="104"/>
        <v>325466280</v>
      </c>
      <c r="RT29" s="923">
        <f>'Проверочная  таблица'!SR29+'Проверочная  таблица'!RY29+'Проверочная  таблица'!SA29+'Проверочная  таблица'!SC29</f>
        <v>317288501</v>
      </c>
      <c r="RU29" s="924">
        <f>'Проверочная  таблица'!SS29+'Проверочная  таблица'!SE29+'Проверочная  таблица'!SK29+'Проверочная  таблица'!SG29+'Проверочная  таблица'!SO29+'Проверочная  таблица'!SI29+SM29</f>
        <v>8177779</v>
      </c>
      <c r="RV29" s="871">
        <f t="shared" si="105"/>
        <v>247590522.30000001</v>
      </c>
      <c r="RW29" s="925">
        <f>'Проверочная  таблица'!SU29+'Проверочная  таблица'!RZ29+'Проверочная  таблица'!SB29+'Проверочная  таблица'!SD29</f>
        <v>242155841.06</v>
      </c>
      <c r="RX29" s="924">
        <f>'Проверочная  таблица'!SV29+'Проверочная  таблица'!SF29+'Проверочная  таблица'!SL29+'Проверочная  таблица'!SH29+'Проверочная  таблица'!SP29+'Проверочная  таблица'!SJ29+SN29</f>
        <v>5434681.2400000002</v>
      </c>
      <c r="RY29" s="559">
        <f>'Субвенция  на  полномочия'!B25</f>
        <v>303648501</v>
      </c>
      <c r="RZ29" s="454">
        <f>'Субвенция  на  полномочия'!C25</f>
        <v>231055841.06</v>
      </c>
      <c r="SA29" s="869">
        <f>[1]Субвенция_факт!P26*1000</f>
        <v>8874000</v>
      </c>
      <c r="SB29" s="1472">
        <v>7000000</v>
      </c>
      <c r="SC29" s="869">
        <f>[1]Субвенция_факт!K26*1000</f>
        <v>3646000</v>
      </c>
      <c r="SD29" s="1472">
        <v>2980000</v>
      </c>
      <c r="SE29" s="869">
        <f>[1]Субвенция_факт!AD26*1000</f>
        <v>1820600</v>
      </c>
      <c r="SF29" s="870">
        <v>1150721.6599999999</v>
      </c>
      <c r="SG29" s="869">
        <f>[1]Субвенция_факт!AE26*1000</f>
        <v>2000</v>
      </c>
      <c r="SH29" s="870"/>
      <c r="SI29" s="869">
        <f>[1]Субвенция_факт!E26*1000</f>
        <v>3705178.9999999995</v>
      </c>
      <c r="SJ29" s="870">
        <v>2467584</v>
      </c>
      <c r="SK29" s="869">
        <f>[1]Субвенция_факт!F26*1000</f>
        <v>0</v>
      </c>
      <c r="SL29" s="1041"/>
      <c r="SM29" s="444">
        <f>[1]Субвенция_факт!G26*1000</f>
        <v>0</v>
      </c>
      <c r="SN29" s="1042"/>
      <c r="SO29" s="869">
        <f>[1]Субвенция_факт!H26*1000</f>
        <v>0</v>
      </c>
      <c r="SP29" s="870"/>
      <c r="SQ29" s="919">
        <f t="shared" si="106"/>
        <v>3770000</v>
      </c>
      <c r="SR29" s="1043">
        <f>[1]Субвенция_факт!AC26*1000</f>
        <v>1120000</v>
      </c>
      <c r="SS29" s="1044">
        <f>[1]Субвенция_факт!AB26*1000</f>
        <v>2650000</v>
      </c>
      <c r="ST29" s="871">
        <f t="shared" si="107"/>
        <v>2936375.58</v>
      </c>
      <c r="SU29" s="1504">
        <v>1120000</v>
      </c>
      <c r="SV29" s="1506">
        <v>1816375.58</v>
      </c>
      <c r="SW29" s="1466">
        <f>'Проверочная  таблица'!VC29+'Проверочная  таблица'!UY29+'Проверочная  таблица'!TQ29+'Проверочная  таблица'!TU29+SY29+'Проверочная  таблица'!US29+UC29+UI29</f>
        <v>0</v>
      </c>
      <c r="SX29" s="1467">
        <f>'Проверочная  таблица'!VE29+'Проверочная  таблица'!VA29+'Проверочная  таблица'!TS29+'Проверочная  таблица'!TW29+TH29+'Проверочная  таблица'!UV29+UF29+UL29</f>
        <v>0</v>
      </c>
      <c r="SY29" s="1130">
        <f t="shared" si="108"/>
        <v>0</v>
      </c>
      <c r="SZ29" s="1115">
        <f>'[1]Иные межбюджетные трансферты'!O27</f>
        <v>0</v>
      </c>
      <c r="TA29" s="1112">
        <f>'[1]Иные межбюджетные трансферты'!Q27</f>
        <v>0</v>
      </c>
      <c r="TB29" s="1234">
        <f>'[1]Иные межбюджетные трансферты'!I27</f>
        <v>0</v>
      </c>
      <c r="TC29" s="1112">
        <f>'[1]Иные межбюджетные трансферты'!K27</f>
        <v>0</v>
      </c>
      <c r="TD29" s="1234">
        <f>'[1]Иные межбюджетные трансферты'!S27</f>
        <v>0</v>
      </c>
      <c r="TE29" s="987">
        <f>'[1]Иные межбюджетные трансферты'!U27</f>
        <v>0</v>
      </c>
      <c r="TF29" s="1237">
        <f>'[1]Иные межбюджетные трансферты'!M27</f>
        <v>0</v>
      </c>
      <c r="TG29" s="1232">
        <f>'[1]Иные межбюджетные трансферты'!W27</f>
        <v>0</v>
      </c>
      <c r="TH29" s="992">
        <f t="shared" si="109"/>
        <v>0</v>
      </c>
      <c r="TI29" s="985"/>
      <c r="TJ29" s="983"/>
      <c r="TK29" s="1234"/>
      <c r="TL29" s="987"/>
      <c r="TM29" s="1234"/>
      <c r="TN29" s="987"/>
      <c r="TO29" s="985"/>
      <c r="TP29" s="1270"/>
      <c r="TQ29" s="974">
        <f t="shared" si="179"/>
        <v>0</v>
      </c>
      <c r="TR29" s="1459">
        <f>'[1]Иные межбюджетные трансферты'!Y27</f>
        <v>0</v>
      </c>
      <c r="TS29" s="974">
        <f t="shared" si="179"/>
        <v>0</v>
      </c>
      <c r="TT29" s="987"/>
      <c r="TU29" s="974">
        <f t="shared" ref="TU29" si="209">TV29</f>
        <v>0</v>
      </c>
      <c r="TV29" s="987">
        <f>'[1]Иные межбюджетные трансферты'!AA27</f>
        <v>0</v>
      </c>
      <c r="TW29" s="974">
        <f t="shared" si="110"/>
        <v>0</v>
      </c>
      <c r="TX29" s="1112"/>
      <c r="TY29" s="977">
        <f t="shared" si="111"/>
        <v>0</v>
      </c>
      <c r="TZ29" s="971">
        <f t="shared" si="112"/>
        <v>0</v>
      </c>
      <c r="UA29" s="1267">
        <f t="shared" si="181"/>
        <v>0</v>
      </c>
      <c r="UB29" s="977">
        <f t="shared" si="182"/>
        <v>0</v>
      </c>
      <c r="UC29" s="974">
        <f t="shared" si="113"/>
        <v>0</v>
      </c>
      <c r="UD29" s="1273">
        <f>'[1]Иные межбюджетные трансферты'!AE27</f>
        <v>0</v>
      </c>
      <c r="UE29" s="1146">
        <f>'[1]Иные межбюджетные трансферты'!AK27</f>
        <v>0</v>
      </c>
      <c r="UF29" s="974">
        <f t="shared" si="114"/>
        <v>0</v>
      </c>
      <c r="UG29" s="987"/>
      <c r="UH29" s="987"/>
      <c r="UI29" s="974">
        <f t="shared" si="115"/>
        <v>0</v>
      </c>
      <c r="UJ29" s="1273">
        <f>'[1]Иные межбюджетные трансферты'!AG27</f>
        <v>0</v>
      </c>
      <c r="UK29" s="1146">
        <f>'[1]Иные межбюджетные трансферты'!AM27</f>
        <v>0</v>
      </c>
      <c r="UL29" s="974">
        <f t="shared" si="116"/>
        <v>0</v>
      </c>
      <c r="UM29" s="987"/>
      <c r="UN29" s="1112"/>
      <c r="UO29" s="977">
        <f t="shared" si="183"/>
        <v>0</v>
      </c>
      <c r="UP29" s="971">
        <f t="shared" si="184"/>
        <v>0</v>
      </c>
      <c r="UQ29" s="971">
        <f t="shared" si="185"/>
        <v>0</v>
      </c>
      <c r="UR29" s="1463">
        <f t="shared" si="186"/>
        <v>0</v>
      </c>
      <c r="US29" s="1263">
        <f t="shared" si="117"/>
        <v>0</v>
      </c>
      <c r="UT29" s="1040">
        <f>'[1]Иные межбюджетные трансферты'!E27</f>
        <v>0</v>
      </c>
      <c r="UU29" s="1126">
        <f>'[1]Иные межбюджетные трансферты'!G27</f>
        <v>0</v>
      </c>
      <c r="UV29" s="733">
        <f t="shared" si="118"/>
        <v>0</v>
      </c>
      <c r="UW29" s="1044"/>
      <c r="UX29" s="1127"/>
      <c r="UY29" s="880">
        <f t="shared" si="119"/>
        <v>0</v>
      </c>
      <c r="UZ29" s="987"/>
      <c r="VA29" s="1039">
        <f t="shared" si="120"/>
        <v>0</v>
      </c>
      <c r="VB29" s="890"/>
      <c r="VC29" s="510">
        <f t="shared" si="121"/>
        <v>0</v>
      </c>
      <c r="VD29" s="875">
        <f>'[1]Иные межбюджетные трансферты'!AS27</f>
        <v>0</v>
      </c>
      <c r="VE29" s="510">
        <f t="shared" si="122"/>
        <v>0</v>
      </c>
      <c r="VF29" s="513"/>
      <c r="VG29" s="886">
        <f t="shared" si="123"/>
        <v>0</v>
      </c>
      <c r="VH29" s="511">
        <f>'Проверочная  таблица'!VD29-VL29</f>
        <v>0</v>
      </c>
      <c r="VI29" s="886">
        <f t="shared" si="124"/>
        <v>0</v>
      </c>
      <c r="VJ29" s="511">
        <f>'Проверочная  таблица'!VF29-VN29</f>
        <v>0</v>
      </c>
      <c r="VK29" s="886">
        <f t="shared" si="125"/>
        <v>0</v>
      </c>
      <c r="VL29" s="875">
        <f>'[1]Иные межбюджетные трансферты'!AU27</f>
        <v>0</v>
      </c>
      <c r="VM29" s="1038">
        <f t="shared" si="126"/>
        <v>0</v>
      </c>
      <c r="VN29" s="513"/>
      <c r="VO29" s="517">
        <f>VQ29+'Проверочная  таблица'!VY29+VU29+'Проверочная  таблица'!WC29+VW29+'Проверочная  таблица'!WE29</f>
        <v>-53800000</v>
      </c>
      <c r="VP29" s="517">
        <f>VR29+'Проверочная  таблица'!VZ29+VV29+'Проверочная  таблица'!WD29+VX29+'Проверочная  таблица'!WF29</f>
        <v>-17800000</v>
      </c>
      <c r="VQ29" s="542">
        <v>8000000</v>
      </c>
      <c r="VR29" s="542">
        <v>8000000</v>
      </c>
      <c r="VS29" s="542"/>
      <c r="VT29" s="542"/>
      <c r="VU29" s="538">
        <f t="shared" si="127"/>
        <v>0</v>
      </c>
      <c r="VV29" s="537">
        <f t="shared" si="128"/>
        <v>0</v>
      </c>
      <c r="VW29" s="543"/>
      <c r="VX29" s="539"/>
      <c r="VY29" s="542">
        <f>-53800000-8000000</f>
        <v>-61800000</v>
      </c>
      <c r="VZ29" s="542">
        <v>-25800000</v>
      </c>
      <c r="WA29" s="542"/>
      <c r="WB29" s="542"/>
      <c r="WC29" s="538">
        <f t="shared" si="129"/>
        <v>0</v>
      </c>
      <c r="WD29" s="537">
        <f t="shared" si="130"/>
        <v>0</v>
      </c>
      <c r="WE29" s="539"/>
      <c r="WF29" s="539"/>
      <c r="WG29" s="1356">
        <f>'Проверочная  таблица'!VY29+'Проверочная  таблица'!WA29</f>
        <v>-61800000</v>
      </c>
      <c r="WH29" s="1356">
        <f>'Проверочная  таблица'!VZ29+'Проверочная  таблица'!WB29</f>
        <v>-25800000</v>
      </c>
      <c r="WI29" s="1481"/>
    </row>
    <row r="30" spans="1:607" s="329" customFormat="1" ht="25.5" customHeight="1" thickBot="1" x14ac:dyDescent="0.35">
      <c r="A30" s="341" t="s">
        <v>113</v>
      </c>
      <c r="B30" s="573">
        <f t="shared" ref="B30:AG30" si="210">SUM(B12:B29)</f>
        <v>11276662389.730001</v>
      </c>
      <c r="C30" s="335">
        <f t="shared" si="210"/>
        <v>8707239176.3600006</v>
      </c>
      <c r="D30" s="547">
        <f t="shared" si="210"/>
        <v>1844987717</v>
      </c>
      <c r="E30" s="432">
        <f t="shared" si="210"/>
        <v>1489097002.52</v>
      </c>
      <c r="F30" s="1208">
        <f t="shared" si="210"/>
        <v>550785200</v>
      </c>
      <c r="G30" s="928">
        <f t="shared" si="210"/>
        <v>478577561.32999998</v>
      </c>
      <c r="H30" s="928">
        <f t="shared" si="210"/>
        <v>623675000</v>
      </c>
      <c r="I30" s="1209">
        <f t="shared" si="210"/>
        <v>503870361.74999994</v>
      </c>
      <c r="J30" s="574">
        <f t="shared" si="210"/>
        <v>491728300</v>
      </c>
      <c r="K30" s="927">
        <f t="shared" si="210"/>
        <v>381162916.75</v>
      </c>
      <c r="L30" s="574">
        <f t="shared" si="210"/>
        <v>131946700</v>
      </c>
      <c r="M30" s="574">
        <f>SUM(M12:M29)</f>
        <v>122707445</v>
      </c>
      <c r="N30" s="928">
        <f t="shared" si="210"/>
        <v>233715417</v>
      </c>
      <c r="O30" s="928">
        <f t="shared" si="210"/>
        <v>167716209.34999999</v>
      </c>
      <c r="P30" s="1209">
        <f t="shared" si="210"/>
        <v>408612100</v>
      </c>
      <c r="Q30" s="928">
        <f t="shared" si="210"/>
        <v>314856964.09000003</v>
      </c>
      <c r="R30" s="1048">
        <f t="shared" si="210"/>
        <v>366867900</v>
      </c>
      <c r="S30" s="1047">
        <f t="shared" si="210"/>
        <v>287614739.12</v>
      </c>
      <c r="T30" s="1048">
        <f t="shared" si="210"/>
        <v>41744200</v>
      </c>
      <c r="U30" s="574">
        <f t="shared" si="210"/>
        <v>27242224.969999999</v>
      </c>
      <c r="V30" s="1203">
        <f t="shared" si="210"/>
        <v>16200000</v>
      </c>
      <c r="W30" s="1045">
        <f t="shared" si="210"/>
        <v>12675906</v>
      </c>
      <c r="X30" s="1049">
        <f t="shared" si="210"/>
        <v>4300000</v>
      </c>
      <c r="Y30" s="1050">
        <f t="shared" si="210"/>
        <v>5400000</v>
      </c>
      <c r="Z30" s="1049">
        <f t="shared" si="210"/>
        <v>2975906</v>
      </c>
      <c r="AA30" s="1045">
        <f t="shared" si="210"/>
        <v>12000000</v>
      </c>
      <c r="AB30" s="1046">
        <f t="shared" si="210"/>
        <v>11400000</v>
      </c>
      <c r="AC30" s="1050">
        <f t="shared" si="210"/>
        <v>5400000</v>
      </c>
      <c r="AD30" s="1049">
        <f t="shared" si="210"/>
        <v>6000000</v>
      </c>
      <c r="AE30" s="1047">
        <f t="shared" si="210"/>
        <v>6000000</v>
      </c>
      <c r="AF30" s="1048">
        <f t="shared" si="210"/>
        <v>5400000</v>
      </c>
      <c r="AG30" s="1047">
        <f t="shared" si="210"/>
        <v>6000000</v>
      </c>
      <c r="AH30" s="1051">
        <f t="shared" ref="AH30:CA30" si="211">SUM(AH12:AH29)</f>
        <v>6000000</v>
      </c>
      <c r="AI30" s="461">
        <f t="shared" si="211"/>
        <v>3568045152.73</v>
      </c>
      <c r="AJ30" s="461">
        <f t="shared" si="211"/>
        <v>2581202386.6700001</v>
      </c>
      <c r="AK30" s="461">
        <f t="shared" si="211"/>
        <v>240393593</v>
      </c>
      <c r="AL30" s="455">
        <f>SUM(AL12:AL29)</f>
        <v>0</v>
      </c>
      <c r="AM30" s="460">
        <f>SUM(AM12:AM29)</f>
        <v>240393593</v>
      </c>
      <c r="AN30" s="460">
        <f t="shared" ref="AN30" si="212">SUM(AN12:AN29)</f>
        <v>0</v>
      </c>
      <c r="AO30" s="548">
        <f>SUM(AO12:AO29)</f>
        <v>0</v>
      </c>
      <c r="AP30" s="460">
        <f>SUM(AP12:AP29)</f>
        <v>0</v>
      </c>
      <c r="AQ30" s="432">
        <f t="shared" si="211"/>
        <v>213823945</v>
      </c>
      <c r="AR30" s="455">
        <f>SUM(AR12:AR29)</f>
        <v>0</v>
      </c>
      <c r="AS30" s="455">
        <f>SUM(AS12:AS29)</f>
        <v>213823945</v>
      </c>
      <c r="AT30" s="455">
        <f t="shared" ref="AT30" si="213">SUM(AT12:AT29)</f>
        <v>0</v>
      </c>
      <c r="AU30" s="455">
        <f>SUM(AU12:AU29)</f>
        <v>0</v>
      </c>
      <c r="AV30" s="455">
        <f>SUM(AV12:AV29)</f>
        <v>0</v>
      </c>
      <c r="AW30" s="432">
        <f t="shared" si="211"/>
        <v>104550250.45</v>
      </c>
      <c r="AX30" s="548">
        <f>SUM(AX12:AX29)</f>
        <v>88386939.620000005</v>
      </c>
      <c r="AY30" s="647">
        <f>SUM(AY12:AY29)</f>
        <v>5264514</v>
      </c>
      <c r="AZ30" s="460">
        <f>SUM(AZ12:AZ29)</f>
        <v>8900000</v>
      </c>
      <c r="BA30" s="549">
        <f>SUM(BA12:BA29)</f>
        <v>0</v>
      </c>
      <c r="BB30" s="460">
        <f>SUM(BB12:BB29)</f>
        <v>1998796.83</v>
      </c>
      <c r="BC30" s="432">
        <f t="shared" si="211"/>
        <v>33802185.729999997</v>
      </c>
      <c r="BD30" s="460">
        <f>SUM(BD12:BD29)</f>
        <v>22763727.43</v>
      </c>
      <c r="BE30" s="455">
        <f>SUM(BE12:BE29)</f>
        <v>5001288</v>
      </c>
      <c r="BF30" s="455">
        <f>SUM(BF12:BF29)</f>
        <v>6037170.2999999998</v>
      </c>
      <c r="BG30" s="549">
        <f>SUM(BG12:BG29)</f>
        <v>0</v>
      </c>
      <c r="BH30" s="460">
        <f>SUM(BH12:BH29)</f>
        <v>0</v>
      </c>
      <c r="BI30" s="654">
        <f t="shared" si="211"/>
        <v>104550250.45</v>
      </c>
      <c r="BJ30" s="577">
        <f>SUM(BJ12:BJ29)</f>
        <v>88386939.620000005</v>
      </c>
      <c r="BK30" s="548">
        <f>SUM(BK12:BK29)</f>
        <v>5264514</v>
      </c>
      <c r="BL30" s="548">
        <f t="shared" ref="BL30" si="214">SUM(BL12:BL29)</f>
        <v>8900000</v>
      </c>
      <c r="BM30" s="460">
        <f>SUM(BM12:BM29)</f>
        <v>0</v>
      </c>
      <c r="BN30" s="941">
        <f>SUM(BN12:BN29)</f>
        <v>1998796.83</v>
      </c>
      <c r="BO30" s="579">
        <f t="shared" si="211"/>
        <v>33802185.729999997</v>
      </c>
      <c r="BP30" s="457">
        <f>SUM(BP12:BP29)</f>
        <v>22763727.43</v>
      </c>
      <c r="BQ30" s="549">
        <f>SUM(BQ12:BQ29)</f>
        <v>5001288</v>
      </c>
      <c r="BR30" s="460">
        <f t="shared" ref="BR30" si="215">SUM(BR12:BR29)</f>
        <v>6037170.2999999998</v>
      </c>
      <c r="BS30" s="549">
        <f>SUM(BS12:BS29)</f>
        <v>0</v>
      </c>
      <c r="BT30" s="460">
        <f>SUM(BT12:BT29)</f>
        <v>0</v>
      </c>
      <c r="BU30" s="654">
        <f t="shared" si="211"/>
        <v>0</v>
      </c>
      <c r="BV30" s="577">
        <f>SUM(BV12:BV29)</f>
        <v>0</v>
      </c>
      <c r="BW30" s="460">
        <f>SUM(BW12:BW29)</f>
        <v>0</v>
      </c>
      <c r="BX30" s="460">
        <f>SUM(BX12:BX29)</f>
        <v>0</v>
      </c>
      <c r="BY30" s="549">
        <f>SUM(BY12:BY29)</f>
        <v>0</v>
      </c>
      <c r="BZ30" s="460">
        <f>SUM(BZ12:BZ29)</f>
        <v>0</v>
      </c>
      <c r="CA30" s="579">
        <f t="shared" si="211"/>
        <v>0</v>
      </c>
      <c r="CB30" s="548">
        <f>SUM(CB12:CB29)</f>
        <v>0</v>
      </c>
      <c r="CC30" s="460">
        <f>SUM(CC12:CC29)</f>
        <v>0</v>
      </c>
      <c r="CD30" s="581">
        <f t="shared" ref="CD30" si="216">SUM(CD12:CD29)</f>
        <v>0</v>
      </c>
      <c r="CE30" s="460">
        <f>SUM(CE12:CE29)</f>
        <v>0</v>
      </c>
      <c r="CF30" s="460">
        <f>SUM(CF12:CF29)</f>
        <v>0</v>
      </c>
      <c r="CG30" s="595">
        <f>SUM(CG12:CG29)</f>
        <v>413673905.56999999</v>
      </c>
      <c r="CH30" s="548">
        <f t="shared" ref="CH30:DA30" si="217">SUM(CH12:CH29)</f>
        <v>5804872.8499999996</v>
      </c>
      <c r="CI30" s="460">
        <f t="shared" si="217"/>
        <v>407869032.72000003</v>
      </c>
      <c r="CJ30" s="460">
        <f t="shared" si="217"/>
        <v>0</v>
      </c>
      <c r="CK30" s="455">
        <f>SUM(CK12:CK29)</f>
        <v>0</v>
      </c>
      <c r="CL30" s="432">
        <f>SUM(CL12:CL29)</f>
        <v>323063671.71999997</v>
      </c>
      <c r="CM30" s="460">
        <f t="shared" si="217"/>
        <v>1022782.69</v>
      </c>
      <c r="CN30" s="460">
        <f t="shared" si="217"/>
        <v>322040889.02999997</v>
      </c>
      <c r="CO30" s="460">
        <f t="shared" ref="CO30" si="218">SUM(CO12:CO29)</f>
        <v>0</v>
      </c>
      <c r="CP30" s="455">
        <f>SUM(CP12:CP29)</f>
        <v>0</v>
      </c>
      <c r="CQ30" s="502">
        <f>SUM(CQ12:CQ29)</f>
        <v>134332565.03999999</v>
      </c>
      <c r="CR30" s="548">
        <f t="shared" si="217"/>
        <v>15459000</v>
      </c>
      <c r="CS30" s="455">
        <f t="shared" si="217"/>
        <v>94333565.039999992</v>
      </c>
      <c r="CT30" s="455">
        <f t="shared" ref="CT30" si="219">SUM(CT12:CT29)</f>
        <v>0</v>
      </c>
      <c r="CU30" s="455">
        <f>SUM(CU12:CU29)</f>
        <v>24540000</v>
      </c>
      <c r="CV30" s="432">
        <f>SUM(CV12:CV29)</f>
        <v>59386561.160000004</v>
      </c>
      <c r="CW30" s="460">
        <f t="shared" si="217"/>
        <v>0</v>
      </c>
      <c r="CX30" s="549">
        <f t="shared" si="217"/>
        <v>36460381.280000001</v>
      </c>
      <c r="CY30" s="460">
        <f t="shared" si="217"/>
        <v>0</v>
      </c>
      <c r="CZ30" s="455">
        <f>SUM(CZ12:CZ29)</f>
        <v>22926179.879999999</v>
      </c>
      <c r="DA30" s="552">
        <f t="shared" si="217"/>
        <v>0</v>
      </c>
      <c r="DB30" s="550">
        <f t="shared" ref="DB30:EA30" si="220">SUM(DB12:DB29)</f>
        <v>0</v>
      </c>
      <c r="DC30" s="780">
        <f t="shared" si="220"/>
        <v>134332565.03999999</v>
      </c>
      <c r="DD30" s="550">
        <f t="shared" si="220"/>
        <v>59386561.160000004</v>
      </c>
      <c r="DE30" s="502">
        <f t="shared" si="220"/>
        <v>14391840.32</v>
      </c>
      <c r="DF30" s="335">
        <f t="shared" si="220"/>
        <v>10929016.559999999</v>
      </c>
      <c r="DG30" s="502">
        <f t="shared" si="220"/>
        <v>50673367.840000004</v>
      </c>
      <c r="DH30" s="335">
        <f t="shared" si="220"/>
        <v>25988724.43</v>
      </c>
      <c r="DI30" s="575">
        <f t="shared" si="220"/>
        <v>0</v>
      </c>
      <c r="DJ30" s="550">
        <f t="shared" si="220"/>
        <v>0</v>
      </c>
      <c r="DK30" s="575">
        <f t="shared" si="220"/>
        <v>50673367.840000004</v>
      </c>
      <c r="DL30" s="550">
        <f t="shared" si="220"/>
        <v>25988724.43</v>
      </c>
      <c r="DM30" s="335">
        <f t="shared" si="220"/>
        <v>757465.28</v>
      </c>
      <c r="DN30" s="502">
        <f t="shared" si="220"/>
        <v>575211.4</v>
      </c>
      <c r="DO30" s="335">
        <f t="shared" si="220"/>
        <v>2667019.3600000003</v>
      </c>
      <c r="DP30" s="502">
        <f t="shared" si="220"/>
        <v>1367827.6099999999</v>
      </c>
      <c r="DQ30" s="550">
        <f t="shared" si="220"/>
        <v>0</v>
      </c>
      <c r="DR30" s="551">
        <f t="shared" si="220"/>
        <v>0</v>
      </c>
      <c r="DS30" s="594">
        <f t="shared" si="220"/>
        <v>2667019.3600000003</v>
      </c>
      <c r="DT30" s="551">
        <f t="shared" si="220"/>
        <v>1367827.6099999999</v>
      </c>
      <c r="DU30" s="335">
        <f t="shared" si="220"/>
        <v>8420481.4000000004</v>
      </c>
      <c r="DV30" s="555">
        <f t="shared" si="220"/>
        <v>1000000</v>
      </c>
      <c r="DW30" s="548">
        <f t="shared" si="220"/>
        <v>0</v>
      </c>
      <c r="DX30" s="675">
        <f t="shared" si="220"/>
        <v>0</v>
      </c>
      <c r="DY30" s="460">
        <f t="shared" si="220"/>
        <v>716500</v>
      </c>
      <c r="DZ30" s="766">
        <f t="shared" si="220"/>
        <v>1842356.4</v>
      </c>
      <c r="EA30" s="553">
        <f t="shared" si="220"/>
        <v>3483500</v>
      </c>
      <c r="EB30" s="554">
        <f t="shared" ref="EB30:EX30" si="221">SUM(EB12:EB29)</f>
        <v>1378125</v>
      </c>
      <c r="EC30" s="335">
        <f t="shared" si="221"/>
        <v>2545325</v>
      </c>
      <c r="ED30" s="643">
        <f t="shared" si="221"/>
        <v>76500</v>
      </c>
      <c r="EE30" s="460">
        <f t="shared" si="221"/>
        <v>0</v>
      </c>
      <c r="EF30" s="675">
        <f t="shared" si="221"/>
        <v>0</v>
      </c>
      <c r="EG30" s="460">
        <f t="shared" si="221"/>
        <v>0</v>
      </c>
      <c r="EH30" s="675">
        <f t="shared" si="221"/>
        <v>0</v>
      </c>
      <c r="EI30" s="643">
        <f t="shared" si="221"/>
        <v>1090700</v>
      </c>
      <c r="EJ30" s="555">
        <f t="shared" si="221"/>
        <v>1378125</v>
      </c>
      <c r="EK30" s="335">
        <f t="shared" ref="EK30:EN30" si="222">SUM(EK12:EK29)</f>
        <v>421875</v>
      </c>
      <c r="EL30" s="555">
        <f t="shared" si="222"/>
        <v>421875</v>
      </c>
      <c r="EM30" s="335">
        <f t="shared" ref="EM30" si="223">SUM(EM12:EM29)</f>
        <v>421875</v>
      </c>
      <c r="EN30" s="555">
        <f t="shared" si="222"/>
        <v>421875</v>
      </c>
      <c r="EO30" s="578">
        <f t="shared" ref="EO30:ER30" si="224">SUM(EO12:EO29)</f>
        <v>0</v>
      </c>
      <c r="EP30" s="578">
        <f t="shared" si="224"/>
        <v>0</v>
      </c>
      <c r="EQ30" s="578">
        <f t="shared" si="224"/>
        <v>421875</v>
      </c>
      <c r="ER30" s="578">
        <f t="shared" si="224"/>
        <v>421875</v>
      </c>
      <c r="ES30" s="461">
        <f t="shared" si="221"/>
        <v>8362084</v>
      </c>
      <c r="ET30" s="455">
        <f t="shared" si="221"/>
        <v>2341384</v>
      </c>
      <c r="EU30" s="793">
        <f t="shared" si="221"/>
        <v>6020700</v>
      </c>
      <c r="EV30" s="432">
        <f t="shared" si="221"/>
        <v>0</v>
      </c>
      <c r="EW30" s="591">
        <f t="shared" si="221"/>
        <v>0</v>
      </c>
      <c r="EX30" s="672">
        <f t="shared" si="221"/>
        <v>0</v>
      </c>
      <c r="EY30" s="461">
        <f t="shared" ref="EY30:FD30" si="225">SUM(EY12:EY29)</f>
        <v>0</v>
      </c>
      <c r="EZ30" s="455">
        <f t="shared" si="225"/>
        <v>0</v>
      </c>
      <c r="FA30" s="793">
        <f t="shared" si="225"/>
        <v>0</v>
      </c>
      <c r="FB30" s="432">
        <f t="shared" si="225"/>
        <v>0</v>
      </c>
      <c r="FC30" s="591">
        <f t="shared" si="225"/>
        <v>0</v>
      </c>
      <c r="FD30" s="672">
        <f t="shared" si="225"/>
        <v>0</v>
      </c>
      <c r="FE30" s="547">
        <f t="shared" ref="FE30:FN30" si="226">SUM(FE12:FE29)</f>
        <v>20050863.16</v>
      </c>
      <c r="FF30" s="548">
        <f t="shared" si="226"/>
        <v>1002543.16</v>
      </c>
      <c r="FG30" s="675">
        <f t="shared" si="226"/>
        <v>19048320</v>
      </c>
      <c r="FH30" s="548">
        <f t="shared" si="226"/>
        <v>0</v>
      </c>
      <c r="FI30" s="675">
        <f t="shared" si="226"/>
        <v>0</v>
      </c>
      <c r="FJ30" s="547">
        <f t="shared" si="226"/>
        <v>2864400</v>
      </c>
      <c r="FK30" s="548">
        <f t="shared" si="226"/>
        <v>143220</v>
      </c>
      <c r="FL30" s="675">
        <f t="shared" si="226"/>
        <v>2721180</v>
      </c>
      <c r="FM30" s="548">
        <f t="shared" si="226"/>
        <v>0</v>
      </c>
      <c r="FN30" s="675">
        <f t="shared" si="226"/>
        <v>0</v>
      </c>
      <c r="FO30" s="461">
        <f t="shared" ref="FO30:FT30" si="227">SUM(FO12:FO29)</f>
        <v>115717396</v>
      </c>
      <c r="FP30" s="455">
        <f t="shared" si="227"/>
        <v>5785870.0099999998</v>
      </c>
      <c r="FQ30" s="793">
        <f t="shared" si="227"/>
        <v>109931525.98999999</v>
      </c>
      <c r="FR30" s="432">
        <f t="shared" si="227"/>
        <v>29595554.600000001</v>
      </c>
      <c r="FS30" s="591">
        <f t="shared" si="227"/>
        <v>1479777.78</v>
      </c>
      <c r="FT30" s="672">
        <f t="shared" si="227"/>
        <v>28115776.82</v>
      </c>
      <c r="FU30" s="547">
        <f t="shared" ref="FU30:FZ30" si="228">SUM(FU12:FU29)</f>
        <v>0</v>
      </c>
      <c r="FV30" s="647">
        <f t="shared" si="228"/>
        <v>0</v>
      </c>
      <c r="FW30" s="672">
        <f t="shared" si="228"/>
        <v>0</v>
      </c>
      <c r="FX30" s="432">
        <f t="shared" si="228"/>
        <v>0</v>
      </c>
      <c r="FY30" s="647">
        <f t="shared" si="228"/>
        <v>0</v>
      </c>
      <c r="FZ30" s="795">
        <f t="shared" si="228"/>
        <v>0</v>
      </c>
      <c r="GA30" s="593">
        <f t="shared" ref="GA30:HE30" si="229">SUM(GA12:GA29)</f>
        <v>13434866</v>
      </c>
      <c r="GB30" s="647">
        <f t="shared" si="229"/>
        <v>3761780.93</v>
      </c>
      <c r="GC30" s="672">
        <f t="shared" si="229"/>
        <v>9673085.0700000003</v>
      </c>
      <c r="GD30" s="432">
        <f t="shared" si="229"/>
        <v>13012556</v>
      </c>
      <c r="GE30" s="783">
        <f t="shared" si="229"/>
        <v>3643533.5500000003</v>
      </c>
      <c r="GF30" s="672">
        <f t="shared" si="229"/>
        <v>9369022.4499999993</v>
      </c>
      <c r="GG30" s="432">
        <f t="shared" si="229"/>
        <v>12743934</v>
      </c>
      <c r="GH30" s="647">
        <f t="shared" si="229"/>
        <v>3568319.0300000003</v>
      </c>
      <c r="GI30" s="672">
        <f t="shared" si="229"/>
        <v>9175614.9699999988</v>
      </c>
      <c r="GJ30" s="432">
        <f t="shared" si="229"/>
        <v>11901339.42</v>
      </c>
      <c r="GK30" s="647">
        <f t="shared" si="229"/>
        <v>3332391.39</v>
      </c>
      <c r="GL30" s="795">
        <f t="shared" si="229"/>
        <v>8568948.0299999993</v>
      </c>
      <c r="GM30" s="579">
        <f t="shared" si="229"/>
        <v>11393934</v>
      </c>
      <c r="GN30" s="926">
        <f t="shared" si="229"/>
        <v>3190317.1700000004</v>
      </c>
      <c r="GO30" s="672">
        <f t="shared" si="229"/>
        <v>8203616.8300000001</v>
      </c>
      <c r="GP30" s="655">
        <f t="shared" si="229"/>
        <v>10551339.42</v>
      </c>
      <c r="GQ30" s="647">
        <f t="shared" si="229"/>
        <v>2954389.53</v>
      </c>
      <c r="GR30" s="793">
        <f t="shared" si="229"/>
        <v>7596949.8899999997</v>
      </c>
      <c r="GS30" s="579">
        <f t="shared" si="229"/>
        <v>1350000</v>
      </c>
      <c r="GT30" s="926">
        <f t="shared" si="229"/>
        <v>378001.86000000004</v>
      </c>
      <c r="GU30" s="672">
        <f t="shared" si="229"/>
        <v>971998.14</v>
      </c>
      <c r="GV30" s="579">
        <f t="shared" si="229"/>
        <v>1350000</v>
      </c>
      <c r="GW30" s="783">
        <f t="shared" si="229"/>
        <v>378001.86</v>
      </c>
      <c r="GX30" s="672">
        <f t="shared" si="229"/>
        <v>971998.14000000013</v>
      </c>
      <c r="GY30" s="432">
        <f t="shared" ref="GY30" si="230">SUM(GY12:GY29)</f>
        <v>0</v>
      </c>
      <c r="GZ30" s="455">
        <f>SUM(GZ12:GZ29)</f>
        <v>0</v>
      </c>
      <c r="HA30" s="672">
        <f>SUM(HA12:HA29)</f>
        <v>0</v>
      </c>
      <c r="HB30" s="432">
        <f t="shared" ref="HB30" si="231">SUM(HB12:HB29)</f>
        <v>0</v>
      </c>
      <c r="HC30" s="455">
        <f>SUM(HC12:HC29)</f>
        <v>0</v>
      </c>
      <c r="HD30" s="672">
        <f>SUM(HD12:HD29)</f>
        <v>0</v>
      </c>
      <c r="HE30" s="595">
        <f t="shared" si="229"/>
        <v>2115624.8899999997</v>
      </c>
      <c r="HF30" s="455">
        <f>SUM(HF12:HF29)</f>
        <v>0</v>
      </c>
      <c r="HG30" s="672">
        <f>SUM(HG12:HG29)</f>
        <v>0</v>
      </c>
      <c r="HH30" s="647">
        <f t="shared" ref="HH30:ID30" si="232">SUM(HH12:HH29)</f>
        <v>1579710.1499999997</v>
      </c>
      <c r="HI30" s="793">
        <f t="shared" si="232"/>
        <v>180350.22000000003</v>
      </c>
      <c r="HJ30" s="647">
        <f t="shared" si="232"/>
        <v>161290.32</v>
      </c>
      <c r="HK30" s="793">
        <f t="shared" si="232"/>
        <v>194274.19999999998</v>
      </c>
      <c r="HL30" s="783">
        <f t="shared" si="232"/>
        <v>0</v>
      </c>
      <c r="HM30" s="672">
        <f t="shared" si="232"/>
        <v>0</v>
      </c>
      <c r="HN30" s="595">
        <f t="shared" si="232"/>
        <v>2115624.8899999997</v>
      </c>
      <c r="HO30" s="455">
        <f>SUM(HO12:HO29)</f>
        <v>0</v>
      </c>
      <c r="HP30" s="672">
        <f>SUM(HP12:HP29)</f>
        <v>0</v>
      </c>
      <c r="HQ30" s="455">
        <f t="shared" si="232"/>
        <v>1579710.1499999997</v>
      </c>
      <c r="HR30" s="793">
        <f t="shared" si="232"/>
        <v>180350.22000000003</v>
      </c>
      <c r="HS30" s="455">
        <f t="shared" si="232"/>
        <v>161290.32</v>
      </c>
      <c r="HT30" s="793">
        <f t="shared" si="232"/>
        <v>194274.19999999998</v>
      </c>
      <c r="HU30" s="455">
        <f t="shared" si="232"/>
        <v>0</v>
      </c>
      <c r="HV30" s="672">
        <f t="shared" si="232"/>
        <v>0</v>
      </c>
      <c r="HW30" s="432">
        <f t="shared" si="232"/>
        <v>61952403.710000001</v>
      </c>
      <c r="HX30" s="455">
        <f>SUM(HX12:HX29)</f>
        <v>17291200</v>
      </c>
      <c r="HY30" s="672">
        <f>SUM(HY12:HY29)</f>
        <v>44458800</v>
      </c>
      <c r="HZ30" s="647">
        <f t="shared" si="232"/>
        <v>105072.45000000001</v>
      </c>
      <c r="IA30" s="672">
        <f t="shared" si="232"/>
        <v>11995.779999999999</v>
      </c>
      <c r="IB30" s="647">
        <f t="shared" si="232"/>
        <v>38709.68</v>
      </c>
      <c r="IC30" s="793">
        <f t="shared" si="232"/>
        <v>46625.8</v>
      </c>
      <c r="ID30" s="581">
        <f t="shared" si="232"/>
        <v>0</v>
      </c>
      <c r="IE30" s="672">
        <f t="shared" ref="IE30:JJ30" si="233">SUM(IE12:IE29)</f>
        <v>0</v>
      </c>
      <c r="IF30" s="595">
        <f t="shared" si="233"/>
        <v>11375842.719999999</v>
      </c>
      <c r="IG30" s="455">
        <f t="shared" ref="IG30:IH30" si="234">SUM(IG12:IG29)</f>
        <v>3128780.05</v>
      </c>
      <c r="IH30" s="672">
        <f t="shared" si="234"/>
        <v>8044658.96</v>
      </c>
      <c r="II30" s="591">
        <f t="shared" si="233"/>
        <v>105072.45000000001</v>
      </c>
      <c r="IJ30" s="672">
        <f t="shared" si="233"/>
        <v>11995.779999999999</v>
      </c>
      <c r="IK30" s="591">
        <f t="shared" si="233"/>
        <v>38709.68</v>
      </c>
      <c r="IL30" s="672">
        <f t="shared" si="233"/>
        <v>46625.8</v>
      </c>
      <c r="IM30" s="455">
        <f t="shared" si="233"/>
        <v>0</v>
      </c>
      <c r="IN30" s="672">
        <f t="shared" si="233"/>
        <v>0</v>
      </c>
      <c r="IO30" s="579">
        <f t="shared" si="233"/>
        <v>61792667.739999995</v>
      </c>
      <c r="IP30" s="647">
        <f t="shared" ref="IP30:IQ30" si="235">SUM(IP12:IP29)</f>
        <v>17291200</v>
      </c>
      <c r="IQ30" s="672">
        <f t="shared" si="235"/>
        <v>44458800</v>
      </c>
      <c r="IR30" s="647">
        <f t="shared" si="233"/>
        <v>0</v>
      </c>
      <c r="IS30" s="672">
        <f t="shared" si="233"/>
        <v>0</v>
      </c>
      <c r="IT30" s="926">
        <f t="shared" si="233"/>
        <v>19354.84</v>
      </c>
      <c r="IU30" s="672">
        <f t="shared" si="233"/>
        <v>23312.9</v>
      </c>
      <c r="IV30" s="647">
        <f t="shared" si="233"/>
        <v>0</v>
      </c>
      <c r="IW30" s="672">
        <f t="shared" si="233"/>
        <v>0</v>
      </c>
      <c r="IX30" s="579">
        <f t="shared" si="233"/>
        <v>11216106.75</v>
      </c>
      <c r="IY30" s="455">
        <f>SUM(IY12:IY29)</f>
        <v>3128780.05</v>
      </c>
      <c r="IZ30" s="672">
        <f>SUM(IZ12:IZ29)</f>
        <v>8044658.96</v>
      </c>
      <c r="JA30" s="647">
        <f t="shared" si="233"/>
        <v>0</v>
      </c>
      <c r="JB30" s="793">
        <f t="shared" si="233"/>
        <v>0</v>
      </c>
      <c r="JC30" s="647">
        <f t="shared" si="233"/>
        <v>19354.84</v>
      </c>
      <c r="JD30" s="793">
        <f t="shared" si="233"/>
        <v>23312.9</v>
      </c>
      <c r="JE30" s="647">
        <f t="shared" si="233"/>
        <v>0</v>
      </c>
      <c r="JF30" s="793">
        <f t="shared" si="233"/>
        <v>0</v>
      </c>
      <c r="JG30" s="579">
        <f t="shared" si="233"/>
        <v>159735.97</v>
      </c>
      <c r="JH30" s="455">
        <f>SUM(JH12:JH29)</f>
        <v>0</v>
      </c>
      <c r="JI30" s="672">
        <f>SUM(JI12:JI29)</f>
        <v>0</v>
      </c>
      <c r="JJ30" s="647">
        <f t="shared" si="233"/>
        <v>105072.45000000001</v>
      </c>
      <c r="JK30" s="672">
        <f t="shared" ref="JK30:JY30" si="236">SUM(JK12:JK29)</f>
        <v>11995.779999999999</v>
      </c>
      <c r="JL30" s="647">
        <f t="shared" si="236"/>
        <v>19354.84</v>
      </c>
      <c r="JM30" s="793">
        <f t="shared" si="236"/>
        <v>23312.9</v>
      </c>
      <c r="JN30" s="581">
        <f t="shared" si="236"/>
        <v>0</v>
      </c>
      <c r="JO30" s="672">
        <f t="shared" si="236"/>
        <v>0</v>
      </c>
      <c r="JP30" s="932">
        <f t="shared" si="236"/>
        <v>159735.97</v>
      </c>
      <c r="JQ30" s="455">
        <f>SUM(JQ12:JQ29)</f>
        <v>0</v>
      </c>
      <c r="JR30" s="672">
        <f>SUM(JR12:JR29)</f>
        <v>0</v>
      </c>
      <c r="JS30" s="647">
        <f t="shared" si="236"/>
        <v>105072.45000000001</v>
      </c>
      <c r="JT30" s="793">
        <f t="shared" si="236"/>
        <v>11995.779999999999</v>
      </c>
      <c r="JU30" s="647">
        <f t="shared" si="236"/>
        <v>19354.84</v>
      </c>
      <c r="JV30" s="793">
        <f t="shared" si="236"/>
        <v>23312.9</v>
      </c>
      <c r="JW30" s="455">
        <f t="shared" si="236"/>
        <v>0</v>
      </c>
      <c r="JX30" s="672">
        <f t="shared" si="236"/>
        <v>0</v>
      </c>
      <c r="JY30" s="432">
        <f t="shared" si="236"/>
        <v>217157100</v>
      </c>
      <c r="JZ30" s="455">
        <f t="shared" ref="JZ30:LG30" si="237">SUM(JZ12:JZ29)</f>
        <v>60804000</v>
      </c>
      <c r="KA30" s="793">
        <f t="shared" si="237"/>
        <v>156353100</v>
      </c>
      <c r="KB30" s="455">
        <f t="shared" ref="KB30:KD30" si="238">SUM(KB12:KB29)</f>
        <v>0</v>
      </c>
      <c r="KC30" s="793">
        <f t="shared" si="238"/>
        <v>0</v>
      </c>
      <c r="KD30" s="432">
        <f t="shared" si="238"/>
        <v>157170015.63</v>
      </c>
      <c r="KE30" s="455">
        <f t="shared" si="237"/>
        <v>44007601.18</v>
      </c>
      <c r="KF30" s="672">
        <f t="shared" si="237"/>
        <v>113162414.44999999</v>
      </c>
      <c r="KG30" s="455">
        <f t="shared" ref="KG30:KH30" si="239">SUM(KG12:KG29)</f>
        <v>0</v>
      </c>
      <c r="KH30" s="672">
        <f t="shared" si="239"/>
        <v>0</v>
      </c>
      <c r="KI30" s="461">
        <f t="shared" si="237"/>
        <v>6650344.8600000003</v>
      </c>
      <c r="KJ30" s="581">
        <f t="shared" si="237"/>
        <v>6650344.8600000003</v>
      </c>
      <c r="KK30" s="455">
        <f>SUM(KK12:KK29)</f>
        <v>0</v>
      </c>
      <c r="KL30" s="675">
        <f t="shared" ref="KL30" si="240">SUM(KL12:KL29)</f>
        <v>0</v>
      </c>
      <c r="KM30" s="460">
        <f t="shared" si="237"/>
        <v>0</v>
      </c>
      <c r="KN30" s="675">
        <f t="shared" si="237"/>
        <v>0</v>
      </c>
      <c r="KO30" s="461">
        <f t="shared" si="237"/>
        <v>6650344.8600000003</v>
      </c>
      <c r="KP30" s="783">
        <f t="shared" si="237"/>
        <v>6650344.8600000003</v>
      </c>
      <c r="KQ30" s="455">
        <f>SUM(KQ12:KQ29)</f>
        <v>0</v>
      </c>
      <c r="KR30" s="672">
        <f t="shared" ref="KR30" si="241">SUM(KR12:KR29)</f>
        <v>0</v>
      </c>
      <c r="KS30" s="581">
        <f t="shared" si="237"/>
        <v>0</v>
      </c>
      <c r="KT30" s="672">
        <f t="shared" si="237"/>
        <v>0</v>
      </c>
      <c r="KU30" s="432">
        <f t="shared" si="237"/>
        <v>4899457.66</v>
      </c>
      <c r="KV30" s="455">
        <f t="shared" si="237"/>
        <v>4899457.66</v>
      </c>
      <c r="KW30" s="455">
        <f t="shared" si="237"/>
        <v>0</v>
      </c>
      <c r="KX30" s="672">
        <f t="shared" si="237"/>
        <v>0</v>
      </c>
      <c r="KY30" s="432">
        <f t="shared" si="237"/>
        <v>4899457.66</v>
      </c>
      <c r="KZ30" s="647">
        <f t="shared" si="237"/>
        <v>4899457.66</v>
      </c>
      <c r="LA30" s="647">
        <f t="shared" si="237"/>
        <v>0</v>
      </c>
      <c r="LB30" s="672">
        <f t="shared" si="237"/>
        <v>0</v>
      </c>
      <c r="LC30" s="579">
        <f t="shared" si="237"/>
        <v>0</v>
      </c>
      <c r="LD30" s="579">
        <f t="shared" si="237"/>
        <v>0</v>
      </c>
      <c r="LE30" s="654">
        <f t="shared" si="237"/>
        <v>4899457.66</v>
      </c>
      <c r="LF30" s="579">
        <f t="shared" si="237"/>
        <v>4899457.66</v>
      </c>
      <c r="LG30" s="432">
        <f t="shared" si="237"/>
        <v>0</v>
      </c>
      <c r="LH30" s="926">
        <f t="shared" ref="LH30:MD30" si="242">SUM(LH12:LH29)</f>
        <v>0</v>
      </c>
      <c r="LI30" s="672">
        <f t="shared" si="242"/>
        <v>0</v>
      </c>
      <c r="LJ30" s="783">
        <f>SUM(LJ12:LJ29)</f>
        <v>0</v>
      </c>
      <c r="LK30" s="672">
        <f t="shared" si="242"/>
        <v>0</v>
      </c>
      <c r="LL30" s="647">
        <f>SUM(LL12:LL29)</f>
        <v>0</v>
      </c>
      <c r="LM30" s="793">
        <f t="shared" ref="LM30" si="243">SUM(LM12:LM29)</f>
        <v>0</v>
      </c>
      <c r="LN30" s="432">
        <f t="shared" si="242"/>
        <v>0</v>
      </c>
      <c r="LO30" s="926">
        <f t="shared" si="242"/>
        <v>0</v>
      </c>
      <c r="LP30" s="672">
        <f t="shared" si="242"/>
        <v>0</v>
      </c>
      <c r="LQ30" s="647">
        <f>SUM(LQ12:LQ29)</f>
        <v>0</v>
      </c>
      <c r="LR30" s="793">
        <f t="shared" si="242"/>
        <v>0</v>
      </c>
      <c r="LS30" s="647">
        <f>SUM(LS12:LS29)</f>
        <v>0</v>
      </c>
      <c r="LT30" s="793">
        <f t="shared" ref="LT30" si="244">SUM(LT12:LT29)</f>
        <v>0</v>
      </c>
      <c r="LU30" s="432">
        <f t="shared" si="242"/>
        <v>57996105.259999998</v>
      </c>
      <c r="LV30" s="647">
        <f t="shared" si="242"/>
        <v>1699805.26</v>
      </c>
      <c r="LW30" s="795">
        <f t="shared" si="242"/>
        <v>32296300</v>
      </c>
      <c r="LX30" s="647">
        <f>SUM(LX12:LX29)</f>
        <v>1200000</v>
      </c>
      <c r="LY30" s="672">
        <f t="shared" si="242"/>
        <v>22800000</v>
      </c>
      <c r="LZ30" s="593">
        <f t="shared" si="242"/>
        <v>33203340.259999998</v>
      </c>
      <c r="MA30" s="647">
        <f t="shared" si="242"/>
        <v>864166.61</v>
      </c>
      <c r="MB30" s="793">
        <f t="shared" si="242"/>
        <v>16419165.65</v>
      </c>
      <c r="MC30" s="647">
        <f>SUM(MC12:MC29)</f>
        <v>796000.4</v>
      </c>
      <c r="MD30" s="672">
        <f t="shared" si="242"/>
        <v>15124007.6</v>
      </c>
      <c r="ME30" s="574">
        <f t="shared" ref="ME30:NJ30" si="245">SUM(ME12:ME29)</f>
        <v>0</v>
      </c>
      <c r="MF30" s="926">
        <f t="shared" si="245"/>
        <v>0</v>
      </c>
      <c r="MG30" s="672">
        <f t="shared" si="245"/>
        <v>0</v>
      </c>
      <c r="MH30" s="793">
        <f t="shared" si="245"/>
        <v>0</v>
      </c>
      <c r="MI30" s="647">
        <f t="shared" si="245"/>
        <v>0</v>
      </c>
      <c r="MJ30" s="574">
        <f t="shared" si="245"/>
        <v>0</v>
      </c>
      <c r="MK30" s="926">
        <f t="shared" si="245"/>
        <v>0</v>
      </c>
      <c r="ML30" s="672">
        <f t="shared" si="245"/>
        <v>0</v>
      </c>
      <c r="MM30" s="793">
        <f t="shared" si="245"/>
        <v>0</v>
      </c>
      <c r="MN30" s="647">
        <f t="shared" si="245"/>
        <v>0</v>
      </c>
      <c r="MO30" s="927">
        <f t="shared" si="245"/>
        <v>57996105.259999998</v>
      </c>
      <c r="MP30" s="647">
        <f t="shared" si="245"/>
        <v>1699805.26</v>
      </c>
      <c r="MQ30" s="793">
        <f t="shared" si="245"/>
        <v>32296300</v>
      </c>
      <c r="MR30" s="672">
        <f t="shared" si="245"/>
        <v>22800000</v>
      </c>
      <c r="MS30" s="926">
        <f t="shared" si="245"/>
        <v>1200000</v>
      </c>
      <c r="MT30" s="574">
        <f t="shared" si="245"/>
        <v>33203340.259999998</v>
      </c>
      <c r="MU30" s="926">
        <f t="shared" si="245"/>
        <v>864166.61</v>
      </c>
      <c r="MV30" s="672">
        <f t="shared" si="245"/>
        <v>16419165.65</v>
      </c>
      <c r="MW30" s="793">
        <f t="shared" si="245"/>
        <v>15124007.6</v>
      </c>
      <c r="MX30" s="647">
        <f t="shared" si="245"/>
        <v>796000.4</v>
      </c>
      <c r="MY30" s="461">
        <f t="shared" si="245"/>
        <v>0</v>
      </c>
      <c r="MZ30" s="455">
        <f t="shared" si="245"/>
        <v>0</v>
      </c>
      <c r="NA30" s="461">
        <f t="shared" si="245"/>
        <v>0</v>
      </c>
      <c r="NB30" s="455">
        <f t="shared" si="245"/>
        <v>0</v>
      </c>
      <c r="NC30" s="547">
        <f t="shared" si="245"/>
        <v>2345555.56</v>
      </c>
      <c r="ND30" s="548">
        <f t="shared" si="245"/>
        <v>656755.56000000006</v>
      </c>
      <c r="NE30" s="675">
        <f t="shared" si="245"/>
        <v>1688800</v>
      </c>
      <c r="NF30" s="335">
        <f t="shared" si="245"/>
        <v>1939980.82</v>
      </c>
      <c r="NG30" s="455">
        <f t="shared" si="245"/>
        <v>543194.63</v>
      </c>
      <c r="NH30" s="793">
        <f t="shared" si="245"/>
        <v>1396786.19</v>
      </c>
      <c r="NI30" s="638">
        <f t="shared" si="245"/>
        <v>2345555.56</v>
      </c>
      <c r="NJ30" s="460">
        <f t="shared" si="245"/>
        <v>656755.56000000006</v>
      </c>
      <c r="NK30" s="793">
        <f t="shared" ref="NK30:SF30" si="246">SUM(NK12:NK29)</f>
        <v>1688800</v>
      </c>
      <c r="NL30" s="638">
        <f t="shared" si="246"/>
        <v>1939980.82</v>
      </c>
      <c r="NM30" s="455">
        <f t="shared" si="246"/>
        <v>543194.63</v>
      </c>
      <c r="NN30" s="793">
        <f t="shared" si="246"/>
        <v>1396786.19</v>
      </c>
      <c r="NO30" s="638">
        <f t="shared" si="246"/>
        <v>0</v>
      </c>
      <c r="NP30" s="548">
        <f t="shared" si="246"/>
        <v>0</v>
      </c>
      <c r="NQ30" s="675">
        <f t="shared" si="246"/>
        <v>0</v>
      </c>
      <c r="NR30" s="578">
        <f t="shared" si="246"/>
        <v>0</v>
      </c>
      <c r="NS30" s="455">
        <f t="shared" si="246"/>
        <v>0</v>
      </c>
      <c r="NT30" s="795">
        <f t="shared" si="246"/>
        <v>0</v>
      </c>
      <c r="NU30" s="461">
        <f>SUM(NU12:NU29)</f>
        <v>0</v>
      </c>
      <c r="NV30" s="460">
        <f>SUM(NV12:NV29)</f>
        <v>0</v>
      </c>
      <c r="NW30" s="766">
        <f>SUM(NW12:NW29)</f>
        <v>0</v>
      </c>
      <c r="NX30" s="461">
        <f>SUM(NX12:NX29)</f>
        <v>0</v>
      </c>
      <c r="NY30" s="581">
        <f t="shared" ref="NY30:NZ30" si="247">SUM(NY12:NY29)</f>
        <v>0</v>
      </c>
      <c r="NZ30" s="672">
        <f t="shared" si="247"/>
        <v>0</v>
      </c>
      <c r="OA30" s="335">
        <f t="shared" ref="OA30" si="248">SUM(OA12:OA29)</f>
        <v>0</v>
      </c>
      <c r="OD30" s="335">
        <f t="shared" ref="OD30" si="249">SUM(OD12:OD29)</f>
        <v>0</v>
      </c>
      <c r="OG30" s="550">
        <f t="shared" ref="OG30" si="250">SUM(OG12:OG29)</f>
        <v>0</v>
      </c>
      <c r="OJ30" s="550">
        <f t="shared" ref="OJ30" si="251">SUM(OJ12:OJ29)</f>
        <v>0</v>
      </c>
      <c r="OM30" s="550">
        <f t="shared" ref="OM30" si="252">SUM(OM12:OM29)</f>
        <v>0</v>
      </c>
      <c r="OP30" s="550">
        <f t="shared" ref="OP30" si="253">SUM(OP12:OP29)</f>
        <v>0</v>
      </c>
      <c r="OS30" s="547">
        <f t="shared" si="246"/>
        <v>76435755.349999994</v>
      </c>
      <c r="OT30" s="460">
        <f t="shared" ref="OT30:OY30" si="254">SUM(OT12:OT29)</f>
        <v>1786701.94</v>
      </c>
      <c r="OU30" s="766">
        <f t="shared" si="254"/>
        <v>4594376.42</v>
      </c>
      <c r="OV30" s="460">
        <f t="shared" si="254"/>
        <v>0</v>
      </c>
      <c r="OW30" s="675">
        <f t="shared" si="254"/>
        <v>0</v>
      </c>
      <c r="OX30" s="460">
        <f t="shared" si="254"/>
        <v>28653989.030000001</v>
      </c>
      <c r="OY30" s="766">
        <f t="shared" si="254"/>
        <v>41400687.959999993</v>
      </c>
      <c r="OZ30" s="547">
        <f t="shared" ref="OZ30" si="255">SUM(OZ12:OZ29)</f>
        <v>24257752.93</v>
      </c>
      <c r="PA30" s="581">
        <f t="shared" ref="PA30:PF30" si="256">SUM(PA12:PA29)</f>
        <v>0</v>
      </c>
      <c r="PB30" s="672">
        <f t="shared" si="256"/>
        <v>0</v>
      </c>
      <c r="PC30" s="455">
        <f t="shared" si="256"/>
        <v>0</v>
      </c>
      <c r="PD30" s="795">
        <f t="shared" si="256"/>
        <v>0</v>
      </c>
      <c r="PE30" s="581">
        <f t="shared" si="256"/>
        <v>9432992.1300000008</v>
      </c>
      <c r="PF30" s="672">
        <f t="shared" si="256"/>
        <v>14824760.800000001</v>
      </c>
      <c r="PG30" s="547">
        <f t="shared" ref="PG30" si="257">SUM(PG12:PG29)</f>
        <v>47263275.420000002</v>
      </c>
      <c r="PH30" s="553">
        <f>SUM(PH12:PH29)</f>
        <v>11386083.33</v>
      </c>
      <c r="PI30" s="702">
        <f>SUM(PI12:PI29)</f>
        <v>29278500</v>
      </c>
      <c r="PJ30" s="460">
        <f t="shared" ref="PJ30:PK30" si="258">SUM(PJ12:PJ29)</f>
        <v>1277522.67</v>
      </c>
      <c r="PK30" s="675">
        <f t="shared" si="258"/>
        <v>3285058.3099999996</v>
      </c>
      <c r="PL30" s="460">
        <f>SUM(PL12:PL29)</f>
        <v>570111.11</v>
      </c>
      <c r="PM30" s="705">
        <f>SUM(PM12:PM29)</f>
        <v>1466000</v>
      </c>
      <c r="PN30" s="460">
        <f>SUM(PN12:PN29)</f>
        <v>0</v>
      </c>
      <c r="PO30" s="675">
        <f>SUM(PO12:PO29)</f>
        <v>0</v>
      </c>
      <c r="PP30" s="547">
        <f t="shared" ref="PP30" si="259">SUM(PP12:PP29)</f>
        <v>38172943.210000001</v>
      </c>
      <c r="PQ30" s="460">
        <f>SUM(PQ12:PQ29)</f>
        <v>9437667.6100000031</v>
      </c>
      <c r="PR30" s="705">
        <f>SUM(PR12:PR29)</f>
        <v>24268288.16</v>
      </c>
      <c r="PS30" s="581">
        <f t="shared" ref="PS30:PT30" si="260">SUM(PS12:PS29)</f>
        <v>1250756.48</v>
      </c>
      <c r="PT30" s="672">
        <f t="shared" si="260"/>
        <v>3216230.96</v>
      </c>
      <c r="PU30" s="460">
        <f>SUM(PU12:PU29)</f>
        <v>0</v>
      </c>
      <c r="PV30" s="766">
        <f>SUM(PV12:PV29)</f>
        <v>0</v>
      </c>
      <c r="PW30" s="460">
        <f>SUM(PW12:PW29)</f>
        <v>0</v>
      </c>
      <c r="PX30" s="675">
        <f>SUM(PX12:PX29)</f>
        <v>0</v>
      </c>
      <c r="PY30" s="638">
        <f t="shared" ref="PY30:QZ30" si="261">SUM(PY12:PY29)</f>
        <v>47263275.420000002</v>
      </c>
      <c r="PZ30" s="548">
        <f t="shared" ref="PZ30:QG30" si="262">SUM(PZ12:PZ29)</f>
        <v>11386083.33</v>
      </c>
      <c r="QA30" s="675">
        <f t="shared" si="262"/>
        <v>29278500</v>
      </c>
      <c r="QB30" s="549">
        <f t="shared" si="262"/>
        <v>1277522.67</v>
      </c>
      <c r="QC30" s="675">
        <f t="shared" si="262"/>
        <v>3285058.3099999996</v>
      </c>
      <c r="QD30" s="460">
        <f>SUM(QD12:QD29)</f>
        <v>570111.11</v>
      </c>
      <c r="QE30" s="675">
        <f>SUM(QE12:QE29)</f>
        <v>1466000</v>
      </c>
      <c r="QF30" s="549">
        <f t="shared" si="262"/>
        <v>0</v>
      </c>
      <c r="QG30" s="675">
        <f t="shared" si="262"/>
        <v>0</v>
      </c>
      <c r="QH30" s="638">
        <f t="shared" si="261"/>
        <v>38172943.210000001</v>
      </c>
      <c r="QI30" s="548">
        <f t="shared" ref="QI30:QP30" si="263">SUM(QI12:QI29)</f>
        <v>9437667.6100000031</v>
      </c>
      <c r="QJ30" s="675">
        <f t="shared" si="263"/>
        <v>24268288.16</v>
      </c>
      <c r="QK30" s="549">
        <f t="shared" si="263"/>
        <v>1250756.48</v>
      </c>
      <c r="QL30" s="675">
        <f t="shared" si="263"/>
        <v>3216230.96</v>
      </c>
      <c r="QM30" s="460">
        <f>SUM(QM12:QM29)</f>
        <v>0</v>
      </c>
      <c r="QN30" s="766">
        <f>SUM(QN12:QN29)</f>
        <v>0</v>
      </c>
      <c r="QO30" s="460">
        <f t="shared" si="263"/>
        <v>0</v>
      </c>
      <c r="QP30" s="675">
        <f t="shared" si="263"/>
        <v>0</v>
      </c>
      <c r="QQ30" s="578">
        <f t="shared" si="261"/>
        <v>0</v>
      </c>
      <c r="QR30" s="643">
        <f t="shared" ref="QR30:QY30" si="264">SUM(QR12:QR29)</f>
        <v>0</v>
      </c>
      <c r="QS30" s="702">
        <f t="shared" si="264"/>
        <v>0</v>
      </c>
      <c r="QT30" s="553">
        <f t="shared" si="264"/>
        <v>0</v>
      </c>
      <c r="QU30" s="675">
        <f t="shared" si="264"/>
        <v>0</v>
      </c>
      <c r="QV30" s="460">
        <f>SUM(QV12:QV29)</f>
        <v>0</v>
      </c>
      <c r="QW30" s="766">
        <f>SUM(QW12:QW29)</f>
        <v>0</v>
      </c>
      <c r="QX30" s="457">
        <f t="shared" si="264"/>
        <v>0</v>
      </c>
      <c r="QY30" s="675">
        <f t="shared" si="264"/>
        <v>0</v>
      </c>
      <c r="QZ30" s="578">
        <f t="shared" si="261"/>
        <v>0</v>
      </c>
      <c r="RA30" s="549">
        <f t="shared" ref="RA30:RH30" si="265">SUM(RA12:RA29)</f>
        <v>0</v>
      </c>
      <c r="RB30" s="675">
        <f t="shared" si="265"/>
        <v>0</v>
      </c>
      <c r="RC30" s="581">
        <f t="shared" si="265"/>
        <v>0</v>
      </c>
      <c r="RD30" s="672">
        <f t="shared" si="265"/>
        <v>0</v>
      </c>
      <c r="RE30" s="549">
        <f>SUM(RE12:RE29)</f>
        <v>0</v>
      </c>
      <c r="RF30" s="675">
        <f>SUM(RF12:RF29)</f>
        <v>0</v>
      </c>
      <c r="RG30" s="460">
        <f t="shared" si="265"/>
        <v>0</v>
      </c>
      <c r="RH30" s="766">
        <f t="shared" si="265"/>
        <v>0</v>
      </c>
      <c r="RI30" s="461">
        <f t="shared" si="246"/>
        <v>370000000</v>
      </c>
      <c r="RJ30" s="335">
        <f t="shared" si="246"/>
        <v>370000000</v>
      </c>
      <c r="RK30" s="461">
        <f t="shared" si="246"/>
        <v>601466780.05000007</v>
      </c>
      <c r="RL30" s="432">
        <f t="shared" si="246"/>
        <v>518004924.72999996</v>
      </c>
      <c r="RM30" s="461">
        <f t="shared" si="246"/>
        <v>979171243.55000019</v>
      </c>
      <c r="RN30" s="432">
        <f t="shared" si="246"/>
        <v>684133965.33000004</v>
      </c>
      <c r="RO30" s="929">
        <f t="shared" si="246"/>
        <v>724397080.78999996</v>
      </c>
      <c r="RP30" s="574">
        <f t="shared" si="246"/>
        <v>477061925.49999994</v>
      </c>
      <c r="RQ30" s="930">
        <f t="shared" si="246"/>
        <v>254774162.75999999</v>
      </c>
      <c r="RR30" s="574">
        <f t="shared" si="246"/>
        <v>215033693.54999998</v>
      </c>
      <c r="RS30" s="432">
        <f t="shared" si="246"/>
        <v>5653629520</v>
      </c>
      <c r="RT30" s="581">
        <f t="shared" si="246"/>
        <v>5544064141</v>
      </c>
      <c r="RU30" s="455">
        <f t="shared" si="246"/>
        <v>109565379</v>
      </c>
      <c r="RV30" s="432">
        <f t="shared" si="246"/>
        <v>4476178180.4099998</v>
      </c>
      <c r="RW30" s="591">
        <f t="shared" si="246"/>
        <v>4406154521.6000004</v>
      </c>
      <c r="RX30" s="455">
        <f t="shared" si="246"/>
        <v>70023658.810000002</v>
      </c>
      <c r="RY30" s="461">
        <f t="shared" si="246"/>
        <v>5248125941</v>
      </c>
      <c r="RZ30" s="432">
        <f t="shared" si="246"/>
        <v>4182171271.5999999</v>
      </c>
      <c r="SA30" s="461">
        <f t="shared" si="246"/>
        <v>205433000</v>
      </c>
      <c r="SB30" s="432">
        <f t="shared" si="246"/>
        <v>150244050</v>
      </c>
      <c r="SC30" s="461">
        <f t="shared" si="246"/>
        <v>72080000</v>
      </c>
      <c r="SD30" s="432">
        <f t="shared" si="246"/>
        <v>55314000</v>
      </c>
      <c r="SE30" s="432">
        <f t="shared" si="246"/>
        <v>27501500</v>
      </c>
      <c r="SF30" s="432">
        <f t="shared" si="246"/>
        <v>17901519.810000002</v>
      </c>
      <c r="SG30" s="593">
        <f t="shared" ref="SG30:UH30" si="266">SUM(SG12:SG29)</f>
        <v>52200</v>
      </c>
      <c r="SH30" s="432">
        <f t="shared" si="266"/>
        <v>26384.5</v>
      </c>
      <c r="SI30" s="593">
        <f t="shared" si="266"/>
        <v>36917190</v>
      </c>
      <c r="SJ30" s="432">
        <f t="shared" si="266"/>
        <v>18045144</v>
      </c>
      <c r="SK30" s="593">
        <f t="shared" si="266"/>
        <v>1223918</v>
      </c>
      <c r="SL30" s="432">
        <f t="shared" si="266"/>
        <v>1191816</v>
      </c>
      <c r="SM30" s="547">
        <f t="shared" si="266"/>
        <v>2447460</v>
      </c>
      <c r="SN30" s="432">
        <f t="shared" si="266"/>
        <v>2383632</v>
      </c>
      <c r="SO30" s="595">
        <f t="shared" si="266"/>
        <v>0</v>
      </c>
      <c r="SP30" s="432">
        <f t="shared" si="266"/>
        <v>0</v>
      </c>
      <c r="SQ30" s="461">
        <f t="shared" si="266"/>
        <v>59848311</v>
      </c>
      <c r="SR30" s="455">
        <f t="shared" si="266"/>
        <v>18425200</v>
      </c>
      <c r="SS30" s="591">
        <f t="shared" si="266"/>
        <v>41423111</v>
      </c>
      <c r="ST30" s="432">
        <f t="shared" si="266"/>
        <v>48900362.499999993</v>
      </c>
      <c r="SU30" s="461">
        <f t="shared" si="266"/>
        <v>18425200</v>
      </c>
      <c r="SV30" s="432">
        <f t="shared" si="266"/>
        <v>30475162.5</v>
      </c>
      <c r="SW30" s="547">
        <f t="shared" si="266"/>
        <v>210000000</v>
      </c>
      <c r="SX30" s="335">
        <f t="shared" si="266"/>
        <v>160761606.75999999</v>
      </c>
      <c r="SY30" s="547">
        <f t="shared" si="266"/>
        <v>0</v>
      </c>
      <c r="SZ30" s="555">
        <f t="shared" si="266"/>
        <v>0</v>
      </c>
      <c r="TA30" s="702">
        <f t="shared" si="266"/>
        <v>0</v>
      </c>
      <c r="TB30" s="555">
        <f t="shared" ref="TB30:TC30" si="267">SUM(TB12:TB29)</f>
        <v>0</v>
      </c>
      <c r="TC30" s="675">
        <f t="shared" si="267"/>
        <v>0</v>
      </c>
      <c r="TD30" s="555">
        <f t="shared" ref="TD30:TE30" si="268">SUM(TD12:TD29)</f>
        <v>0</v>
      </c>
      <c r="TE30" s="675">
        <f t="shared" si="268"/>
        <v>0</v>
      </c>
      <c r="TF30" s="553">
        <f t="shared" ref="TF30" si="269">SUM(TF12:TF29)</f>
        <v>0</v>
      </c>
      <c r="TG30" s="555">
        <f t="shared" si="266"/>
        <v>0</v>
      </c>
      <c r="TH30" s="547">
        <f t="shared" si="266"/>
        <v>0</v>
      </c>
      <c r="TI30" s="553">
        <f t="shared" si="266"/>
        <v>0</v>
      </c>
      <c r="TJ30" s="705">
        <f t="shared" si="266"/>
        <v>0</v>
      </c>
      <c r="TK30" s="555">
        <f t="shared" si="266"/>
        <v>0</v>
      </c>
      <c r="TL30" s="675">
        <f t="shared" si="266"/>
        <v>0</v>
      </c>
      <c r="TM30" s="555">
        <f t="shared" ref="TM30:TN30" si="270">SUM(TM12:TM29)</f>
        <v>0</v>
      </c>
      <c r="TN30" s="675">
        <f t="shared" si="270"/>
        <v>0</v>
      </c>
      <c r="TO30" s="553">
        <f t="shared" ref="TO30" si="271">SUM(TO12:TO29)</f>
        <v>0</v>
      </c>
      <c r="TP30" s="553">
        <f t="shared" si="266"/>
        <v>0</v>
      </c>
      <c r="TQ30" s="335">
        <f>SUM(TQ12:TQ29)</f>
        <v>0</v>
      </c>
      <c r="TR30" s="675">
        <f t="shared" ref="TR30" si="272">SUM(TR12:TR29)</f>
        <v>0</v>
      </c>
      <c r="TS30" s="335">
        <f>SUM(TS12:TS29)</f>
        <v>0</v>
      </c>
      <c r="TT30" s="675">
        <f t="shared" ref="TT30" si="273">SUM(TT12:TT29)</f>
        <v>0</v>
      </c>
      <c r="TU30" s="335">
        <f>SUM(TU12:TU29)</f>
        <v>190000000</v>
      </c>
      <c r="TV30" s="675">
        <f>SUM(TV12:TV29)</f>
        <v>190000000</v>
      </c>
      <c r="TW30" s="335">
        <f>SUM(TW12:TW29)</f>
        <v>140761606.75999999</v>
      </c>
      <c r="TX30" s="675">
        <f>SUM(TX12:TX29)</f>
        <v>140761606.75999999</v>
      </c>
      <c r="TY30" s="552">
        <f t="shared" ref="TY30:UB30" si="274">SUM(TY12:TY29)</f>
        <v>0</v>
      </c>
      <c r="TZ30" s="550">
        <f t="shared" si="274"/>
        <v>0</v>
      </c>
      <c r="UA30" s="575">
        <f t="shared" si="274"/>
        <v>190000000</v>
      </c>
      <c r="UB30" s="550">
        <f t="shared" si="274"/>
        <v>140761606.75999999</v>
      </c>
      <c r="UC30" s="335">
        <f>SUM(UC12:UC29)</f>
        <v>0</v>
      </c>
      <c r="UD30" s="702">
        <f t="shared" si="266"/>
        <v>0</v>
      </c>
      <c r="UE30" s="675">
        <f t="shared" si="266"/>
        <v>0</v>
      </c>
      <c r="UF30" s="335">
        <f>SUM(UF12:UF29)</f>
        <v>0</v>
      </c>
      <c r="UG30" s="675">
        <f t="shared" si="266"/>
        <v>0</v>
      </c>
      <c r="UH30" s="675">
        <f t="shared" si="266"/>
        <v>0</v>
      </c>
      <c r="UI30" s="335">
        <f>SUM(UI12:UI29)</f>
        <v>20000000</v>
      </c>
      <c r="UJ30" s="702">
        <f t="shared" ref="UJ30:VF30" si="275">SUM(UJ12:UJ29)</f>
        <v>0</v>
      </c>
      <c r="UK30" s="675">
        <f t="shared" si="275"/>
        <v>20000000</v>
      </c>
      <c r="UL30" s="335">
        <f>SUM(UL12:UL29)</f>
        <v>20000000</v>
      </c>
      <c r="UM30" s="675">
        <f t="shared" si="275"/>
        <v>0</v>
      </c>
      <c r="UN30" s="675">
        <f t="shared" si="275"/>
        <v>20000000</v>
      </c>
      <c r="UO30" s="552">
        <f t="shared" si="275"/>
        <v>0</v>
      </c>
      <c r="UP30" s="550">
        <f t="shared" si="275"/>
        <v>0</v>
      </c>
      <c r="UQ30" s="550">
        <f t="shared" si="275"/>
        <v>20000000</v>
      </c>
      <c r="UR30" s="780">
        <f t="shared" si="275"/>
        <v>20000000</v>
      </c>
      <c r="US30" s="432">
        <f t="shared" si="275"/>
        <v>0</v>
      </c>
      <c r="UT30" s="647">
        <f t="shared" si="275"/>
        <v>0</v>
      </c>
      <c r="UU30" s="672">
        <f t="shared" si="275"/>
        <v>0</v>
      </c>
      <c r="UV30" s="432">
        <f t="shared" si="275"/>
        <v>0</v>
      </c>
      <c r="UW30" s="647">
        <f t="shared" si="275"/>
        <v>0</v>
      </c>
      <c r="UX30" s="672">
        <f t="shared" si="275"/>
        <v>0</v>
      </c>
      <c r="UY30" s="432">
        <f t="shared" si="275"/>
        <v>0</v>
      </c>
      <c r="UZ30" s="675">
        <f t="shared" si="275"/>
        <v>0</v>
      </c>
      <c r="VA30" s="432">
        <f t="shared" si="275"/>
        <v>0</v>
      </c>
      <c r="VB30" s="1291">
        <f t="shared" si="275"/>
        <v>0</v>
      </c>
      <c r="VC30" s="432">
        <f t="shared" si="275"/>
        <v>0</v>
      </c>
      <c r="VD30" s="553">
        <f t="shared" si="275"/>
        <v>0</v>
      </c>
      <c r="VE30" s="432">
        <f t="shared" si="275"/>
        <v>0</v>
      </c>
      <c r="VF30" s="647">
        <f t="shared" si="275"/>
        <v>0</v>
      </c>
      <c r="VG30" s="579">
        <f t="shared" ref="VG30:WD30" si="276">SUM(VG12:VG29)</f>
        <v>0</v>
      </c>
      <c r="VH30" s="647">
        <f t="shared" si="276"/>
        <v>0</v>
      </c>
      <c r="VI30" s="579">
        <f t="shared" si="276"/>
        <v>0</v>
      </c>
      <c r="VJ30" s="647">
        <f t="shared" si="276"/>
        <v>0</v>
      </c>
      <c r="VK30" s="579">
        <f t="shared" si="276"/>
        <v>0</v>
      </c>
      <c r="VL30" s="553">
        <f t="shared" si="276"/>
        <v>0</v>
      </c>
      <c r="VM30" s="579">
        <f t="shared" si="276"/>
        <v>0</v>
      </c>
      <c r="VN30" s="647">
        <f t="shared" si="276"/>
        <v>0</v>
      </c>
      <c r="VO30" s="461">
        <f t="shared" si="276"/>
        <v>-490947900</v>
      </c>
      <c r="VP30" s="432">
        <f t="shared" si="276"/>
        <v>-172362844.90000001</v>
      </c>
      <c r="VQ30" s="459">
        <f t="shared" si="276"/>
        <v>94600000</v>
      </c>
      <c r="VR30" s="459">
        <f t="shared" si="276"/>
        <v>90100000</v>
      </c>
      <c r="VS30" s="459">
        <f t="shared" si="276"/>
        <v>32700000</v>
      </c>
      <c r="VT30" s="459">
        <f t="shared" si="276"/>
        <v>28315755.100000001</v>
      </c>
      <c r="VU30" s="1357">
        <f t="shared" si="276"/>
        <v>12800000</v>
      </c>
      <c r="VV30" s="550">
        <f t="shared" si="276"/>
        <v>12032000</v>
      </c>
      <c r="VW30" s="576">
        <f t="shared" si="276"/>
        <v>19900000</v>
      </c>
      <c r="VX30" s="576">
        <f t="shared" si="276"/>
        <v>16283755.1</v>
      </c>
      <c r="VY30" s="459">
        <f t="shared" si="276"/>
        <v>-497433000</v>
      </c>
      <c r="VZ30" s="459">
        <f t="shared" si="276"/>
        <v>-222291300</v>
      </c>
      <c r="WA30" s="459">
        <f t="shared" si="276"/>
        <v>-120814900</v>
      </c>
      <c r="WB30" s="459">
        <f t="shared" si="276"/>
        <v>-68487300</v>
      </c>
      <c r="WC30" s="576">
        <f t="shared" si="276"/>
        <v>-32164900</v>
      </c>
      <c r="WD30" s="576">
        <f t="shared" si="276"/>
        <v>-16837300</v>
      </c>
      <c r="WE30" s="576">
        <f>SUM(WE12:WE29)</f>
        <v>-88650000</v>
      </c>
      <c r="WF30" s="576">
        <f>SUM(WF12:WF29)</f>
        <v>-51650000</v>
      </c>
      <c r="WG30" s="1356">
        <f>'Проверочная  таблица'!VY30+'Проверочная  таблица'!WA30</f>
        <v>-618247900</v>
      </c>
      <c r="WH30" s="1356">
        <f>'Проверочная  таблица'!VZ30+'Проверочная  таблица'!WB30</f>
        <v>-290778600</v>
      </c>
      <c r="WI30" s="1481"/>
    </row>
    <row r="31" spans="1:607" s="329" customFormat="1" ht="25.5" customHeight="1" x14ac:dyDescent="0.3">
      <c r="A31" s="342"/>
      <c r="B31" s="518"/>
      <c r="C31" s="456"/>
      <c r="D31" s="487"/>
      <c r="E31" s="454"/>
      <c r="F31" s="737"/>
      <c r="G31" s="738"/>
      <c r="H31" s="739"/>
      <c r="I31" s="738"/>
      <c r="J31" s="740"/>
      <c r="K31" s="741"/>
      <c r="L31" s="740"/>
      <c r="M31" s="758"/>
      <c r="N31" s="738"/>
      <c r="O31" s="738"/>
      <c r="P31" s="933"/>
      <c r="Q31" s="738"/>
      <c r="R31" s="742"/>
      <c r="S31" s="741"/>
      <c r="T31" s="742"/>
      <c r="U31" s="758"/>
      <c r="V31" s="739"/>
      <c r="W31" s="739"/>
      <c r="X31" s="832"/>
      <c r="Y31" s="743"/>
      <c r="Z31" s="743"/>
      <c r="AA31" s="737"/>
      <c r="AB31" s="739"/>
      <c r="AC31" s="744"/>
      <c r="AD31" s="743"/>
      <c r="AE31" s="742"/>
      <c r="AF31" s="741"/>
      <c r="AG31" s="742"/>
      <c r="AH31" s="741"/>
      <c r="AI31" s="582"/>
      <c r="AJ31" s="582"/>
      <c r="AK31" s="573"/>
      <c r="AL31" s="457"/>
      <c r="AM31" s="457"/>
      <c r="AN31" s="457"/>
      <c r="AO31" s="577"/>
      <c r="AP31" s="514"/>
      <c r="AQ31" s="573"/>
      <c r="AR31" s="514"/>
      <c r="AS31" s="514"/>
      <c r="AT31" s="514"/>
      <c r="AU31" s="514"/>
      <c r="AV31" s="514"/>
      <c r="AW31" s="573"/>
      <c r="AX31" s="903"/>
      <c r="AY31" s="457"/>
      <c r="AZ31" s="514"/>
      <c r="BA31" s="761"/>
      <c r="BB31" s="637"/>
      <c r="BC31" s="573"/>
      <c r="BD31" s="637"/>
      <c r="BE31" s="637"/>
      <c r="BF31" s="514"/>
      <c r="BG31" s="761"/>
      <c r="BH31" s="637"/>
      <c r="BI31" s="658"/>
      <c r="BJ31" s="649"/>
      <c r="BK31" s="577"/>
      <c r="BL31" s="609"/>
      <c r="BM31" s="637"/>
      <c r="BN31" s="760"/>
      <c r="BO31" s="658"/>
      <c r="BP31" s="637"/>
      <c r="BQ31" s="761"/>
      <c r="BR31" s="637"/>
      <c r="BS31" s="761"/>
      <c r="BT31" s="637"/>
      <c r="BU31" s="658"/>
      <c r="BV31" s="649"/>
      <c r="BW31" s="457"/>
      <c r="BX31" s="514"/>
      <c r="BY31" s="761"/>
      <c r="BZ31" s="637"/>
      <c r="CA31" s="660"/>
      <c r="CB31" s="649"/>
      <c r="CC31" s="637"/>
      <c r="CD31" s="609"/>
      <c r="CE31" s="637"/>
      <c r="CF31" s="637"/>
      <c r="CG31" s="1285"/>
      <c r="CH31" s="457"/>
      <c r="CI31" s="457"/>
      <c r="CJ31" s="457"/>
      <c r="CK31" s="457"/>
      <c r="CL31" s="459"/>
      <c r="CM31" s="649"/>
      <c r="CN31" s="637"/>
      <c r="CO31" s="637"/>
      <c r="CP31" s="457"/>
      <c r="CQ31" s="580"/>
      <c r="CR31" s="457"/>
      <c r="CS31" s="457"/>
      <c r="CT31" s="457"/>
      <c r="CU31" s="457"/>
      <c r="CV31" s="459"/>
      <c r="CW31" s="637"/>
      <c r="CX31" s="761"/>
      <c r="CY31" s="637"/>
      <c r="CZ31" s="457"/>
      <c r="DA31" s="576"/>
      <c r="DB31" s="576"/>
      <c r="DC31" s="576"/>
      <c r="DD31" s="576"/>
      <c r="DE31" s="580"/>
      <c r="DF31" s="796"/>
      <c r="DG31" s="580"/>
      <c r="DH31" s="797"/>
      <c r="DI31" s="598"/>
      <c r="DJ31" s="798"/>
      <c r="DK31" s="598"/>
      <c r="DL31" s="798"/>
      <c r="DM31" s="580"/>
      <c r="DN31" s="796"/>
      <c r="DO31" s="580"/>
      <c r="DP31" s="796"/>
      <c r="DQ31" s="598"/>
      <c r="DR31" s="798"/>
      <c r="DS31" s="598"/>
      <c r="DT31" s="798"/>
      <c r="DU31" s="580"/>
      <c r="DV31" s="853"/>
      <c r="DW31" s="649"/>
      <c r="DX31" s="680"/>
      <c r="DY31" s="584"/>
      <c r="DZ31" s="680"/>
      <c r="EA31" s="908"/>
      <c r="EB31" s="853"/>
      <c r="EC31" s="459"/>
      <c r="ED31" s="908"/>
      <c r="EE31" s="649"/>
      <c r="EF31" s="680"/>
      <c r="EG31" s="649"/>
      <c r="EH31" s="680"/>
      <c r="EI31" s="904"/>
      <c r="EJ31" s="903"/>
      <c r="EK31" s="459"/>
      <c r="EL31" s="903"/>
      <c r="EM31" s="459"/>
      <c r="EN31" s="903"/>
      <c r="EO31" s="660"/>
      <c r="EP31" s="660"/>
      <c r="EQ31" s="660"/>
      <c r="ER31" s="660"/>
      <c r="ES31" s="573"/>
      <c r="ET31" s="457"/>
      <c r="EU31" s="767"/>
      <c r="EV31" s="459"/>
      <c r="EW31" s="761"/>
      <c r="EX31" s="680"/>
      <c r="EY31" s="573"/>
      <c r="EZ31" s="457"/>
      <c r="FA31" s="767"/>
      <c r="FB31" s="459"/>
      <c r="FC31" s="761"/>
      <c r="FD31" s="680"/>
      <c r="FE31" s="573"/>
      <c r="FF31" s="649"/>
      <c r="FG31" s="674"/>
      <c r="FH31" s="649"/>
      <c r="FI31" s="674"/>
      <c r="FJ31" s="573"/>
      <c r="FK31" s="649"/>
      <c r="FL31" s="674"/>
      <c r="FM31" s="649"/>
      <c r="FN31" s="674"/>
      <c r="FO31" s="573"/>
      <c r="FP31" s="457"/>
      <c r="FQ31" s="767"/>
      <c r="FR31" s="459"/>
      <c r="FS31" s="761"/>
      <c r="FT31" s="680"/>
      <c r="FU31" s="573"/>
      <c r="FV31" s="637"/>
      <c r="FW31" s="769"/>
      <c r="FX31" s="459"/>
      <c r="FY31" s="649"/>
      <c r="FZ31" s="674"/>
      <c r="GA31" s="580"/>
      <c r="GB31" s="649"/>
      <c r="GC31" s="674"/>
      <c r="GD31" s="459"/>
      <c r="GE31" s="649"/>
      <c r="GF31" s="674"/>
      <c r="GG31" s="459"/>
      <c r="GH31" s="760"/>
      <c r="GI31" s="674"/>
      <c r="GJ31" s="459"/>
      <c r="GK31" s="637"/>
      <c r="GL31" s="674"/>
      <c r="GM31" s="660"/>
      <c r="GN31" s="761"/>
      <c r="GO31" s="674"/>
      <c r="GP31" s="656"/>
      <c r="GQ31" s="637"/>
      <c r="GR31" s="769"/>
      <c r="GS31" s="660"/>
      <c r="GT31" s="761"/>
      <c r="GU31" s="674"/>
      <c r="GV31" s="660"/>
      <c r="GW31" s="649"/>
      <c r="GX31" s="674"/>
      <c r="GY31" s="459"/>
      <c r="GZ31" s="637"/>
      <c r="HA31" s="707"/>
      <c r="HB31" s="459"/>
      <c r="HC31" s="637"/>
      <c r="HD31" s="707"/>
      <c r="HE31" s="501"/>
      <c r="HF31" s="637"/>
      <c r="HG31" s="707"/>
      <c r="HH31" s="637"/>
      <c r="HI31" s="707"/>
      <c r="HJ31" s="637"/>
      <c r="HK31" s="789"/>
      <c r="HL31" s="649"/>
      <c r="HM31" s="674"/>
      <c r="HN31" s="501"/>
      <c r="HO31" s="637"/>
      <c r="HP31" s="707"/>
      <c r="HQ31" s="637"/>
      <c r="HR31" s="769"/>
      <c r="HS31" s="637"/>
      <c r="HT31" s="707"/>
      <c r="HU31" s="637"/>
      <c r="HV31" s="707"/>
      <c r="HW31" s="738"/>
      <c r="HX31" s="637"/>
      <c r="HY31" s="707"/>
      <c r="HZ31" s="637"/>
      <c r="IA31" s="674"/>
      <c r="IB31" s="637"/>
      <c r="IC31" s="769"/>
      <c r="ID31" s="637"/>
      <c r="IE31" s="674"/>
      <c r="IF31" s="933"/>
      <c r="IG31" s="637"/>
      <c r="IH31" s="707"/>
      <c r="II31" s="761"/>
      <c r="IJ31" s="674"/>
      <c r="IK31" s="761"/>
      <c r="IL31" s="674"/>
      <c r="IM31" s="637"/>
      <c r="IN31" s="707"/>
      <c r="IO31" s="758"/>
      <c r="IP31" s="637"/>
      <c r="IQ31" s="707"/>
      <c r="IR31" s="637"/>
      <c r="IS31" s="674"/>
      <c r="IT31" s="761"/>
      <c r="IU31" s="674"/>
      <c r="IV31" s="637"/>
      <c r="IW31" s="674"/>
      <c r="IX31" s="758"/>
      <c r="IY31" s="637"/>
      <c r="IZ31" s="707"/>
      <c r="JA31" s="637"/>
      <c r="JB31" s="769"/>
      <c r="JC31" s="637"/>
      <c r="JD31" s="769"/>
      <c r="JE31" s="637"/>
      <c r="JF31" s="769"/>
      <c r="JG31" s="741"/>
      <c r="JH31" s="637"/>
      <c r="JI31" s="707"/>
      <c r="JJ31" s="637"/>
      <c r="JK31" s="674"/>
      <c r="JL31" s="637"/>
      <c r="JM31" s="707"/>
      <c r="JN31" s="637"/>
      <c r="JO31" s="674"/>
      <c r="JP31" s="934"/>
      <c r="JQ31" s="637"/>
      <c r="JR31" s="707"/>
      <c r="JS31" s="637"/>
      <c r="JT31" s="769"/>
      <c r="JU31" s="637"/>
      <c r="JV31" s="707"/>
      <c r="JW31" s="637"/>
      <c r="JX31" s="707"/>
      <c r="JY31" s="459"/>
      <c r="JZ31" s="457"/>
      <c r="KA31" s="767"/>
      <c r="KB31" s="457"/>
      <c r="KC31" s="767"/>
      <c r="KD31" s="459"/>
      <c r="KE31" s="457"/>
      <c r="KF31" s="680"/>
      <c r="KG31" s="457"/>
      <c r="KH31" s="680"/>
      <c r="KI31" s="573"/>
      <c r="KJ31" s="577"/>
      <c r="KK31" s="457"/>
      <c r="KL31" s="674"/>
      <c r="KM31" s="457"/>
      <c r="KN31" s="674"/>
      <c r="KO31" s="573"/>
      <c r="KP31" s="853"/>
      <c r="KQ31" s="514"/>
      <c r="KR31" s="681"/>
      <c r="KS31" s="609"/>
      <c r="KT31" s="681"/>
      <c r="KU31" s="459"/>
      <c r="KV31" s="457"/>
      <c r="KW31" s="457"/>
      <c r="KX31" s="680"/>
      <c r="KY31" s="459"/>
      <c r="KZ31" s="853"/>
      <c r="LA31" s="853"/>
      <c r="LB31" s="680"/>
      <c r="LC31" s="660"/>
      <c r="LD31" s="660"/>
      <c r="LE31" s="658"/>
      <c r="LF31" s="660"/>
      <c r="LG31" s="459"/>
      <c r="LH31" s="761"/>
      <c r="LI31" s="674"/>
      <c r="LJ31" s="649"/>
      <c r="LK31" s="674"/>
      <c r="LL31" s="637"/>
      <c r="LM31" s="769"/>
      <c r="LN31" s="459"/>
      <c r="LO31" s="761"/>
      <c r="LP31" s="674"/>
      <c r="LQ31" s="637"/>
      <c r="LR31" s="769"/>
      <c r="LS31" s="637"/>
      <c r="LT31" s="769"/>
      <c r="LU31" s="459"/>
      <c r="LV31" s="637"/>
      <c r="LW31" s="769"/>
      <c r="LX31" s="637"/>
      <c r="LY31" s="674"/>
      <c r="LZ31" s="503"/>
      <c r="MA31" s="637"/>
      <c r="MB31" s="769"/>
      <c r="MC31" s="637"/>
      <c r="MD31" s="674"/>
      <c r="ME31" s="741"/>
      <c r="MF31" s="761"/>
      <c r="MG31" s="674"/>
      <c r="MH31" s="769"/>
      <c r="MI31" s="637"/>
      <c r="MJ31" s="741"/>
      <c r="MK31" s="761"/>
      <c r="ML31" s="674"/>
      <c r="MM31" s="769"/>
      <c r="MN31" s="637"/>
      <c r="MO31" s="781"/>
      <c r="MP31" s="637"/>
      <c r="MQ31" s="769"/>
      <c r="MR31" s="674"/>
      <c r="MS31" s="761"/>
      <c r="MT31" s="741"/>
      <c r="MU31" s="761"/>
      <c r="MV31" s="674"/>
      <c r="MW31" s="769"/>
      <c r="MX31" s="637"/>
      <c r="MY31" s="544"/>
      <c r="MZ31" s="514"/>
      <c r="NA31" s="456"/>
      <c r="NB31" s="514"/>
      <c r="NC31" s="573"/>
      <c r="ND31" s="649"/>
      <c r="NE31" s="674"/>
      <c r="NF31" s="573"/>
      <c r="NG31" s="637"/>
      <c r="NH31" s="674"/>
      <c r="NI31" s="658"/>
      <c r="NJ31" s="853"/>
      <c r="NK31" s="767"/>
      <c r="NL31" s="658"/>
      <c r="NM31" s="853"/>
      <c r="NN31" s="767"/>
      <c r="NO31" s="658"/>
      <c r="NP31" s="853"/>
      <c r="NQ31" s="767"/>
      <c r="NR31" s="658"/>
      <c r="NS31" s="853"/>
      <c r="NT31" s="748"/>
      <c r="NU31" s="448"/>
      <c r="NV31" s="457"/>
      <c r="NW31" s="769"/>
      <c r="NX31" s="448"/>
      <c r="NY31" s="609"/>
      <c r="NZ31" s="681"/>
      <c r="OA31" s="459"/>
      <c r="OD31" s="459"/>
      <c r="OG31" s="940"/>
      <c r="OJ31" s="940"/>
      <c r="OM31" s="940"/>
      <c r="OP31" s="940"/>
      <c r="OS31" s="573"/>
      <c r="OT31" s="457"/>
      <c r="OU31" s="767"/>
      <c r="OV31" s="514"/>
      <c r="OW31" s="681"/>
      <c r="OX31" s="637"/>
      <c r="OY31" s="767"/>
      <c r="OZ31" s="573"/>
      <c r="PA31" s="609"/>
      <c r="PB31" s="681"/>
      <c r="PC31" s="514"/>
      <c r="PD31" s="681"/>
      <c r="PE31" s="609"/>
      <c r="PF31" s="681"/>
      <c r="PG31" s="573"/>
      <c r="PH31" s="637"/>
      <c r="PI31" s="789"/>
      <c r="PJ31" s="514"/>
      <c r="PK31" s="681"/>
      <c r="PL31" s="637"/>
      <c r="PM31" s="707"/>
      <c r="PN31" s="637"/>
      <c r="PO31" s="680"/>
      <c r="PP31" s="573"/>
      <c r="PQ31" s="637"/>
      <c r="PR31" s="707"/>
      <c r="PS31" s="609"/>
      <c r="PT31" s="681"/>
      <c r="PU31" s="637"/>
      <c r="PV31" s="769"/>
      <c r="PW31" s="637"/>
      <c r="PX31" s="674"/>
      <c r="PY31" s="658"/>
      <c r="PZ31" s="637"/>
      <c r="QA31" s="674"/>
      <c r="QB31" s="609"/>
      <c r="QC31" s="681"/>
      <c r="QD31" s="649"/>
      <c r="QE31" s="674"/>
      <c r="QF31" s="637"/>
      <c r="QG31" s="674"/>
      <c r="QH31" s="658"/>
      <c r="QI31" s="637"/>
      <c r="QJ31" s="707"/>
      <c r="QK31" s="609"/>
      <c r="QL31" s="681"/>
      <c r="QM31" s="637"/>
      <c r="QN31" s="769"/>
      <c r="QO31" s="637"/>
      <c r="QP31" s="674"/>
      <c r="QQ31" s="660"/>
      <c r="QR31" s="761"/>
      <c r="QS31" s="674"/>
      <c r="QT31" s="761"/>
      <c r="QU31" s="674"/>
      <c r="QV31" s="637"/>
      <c r="QW31" s="769"/>
      <c r="QX31" s="637"/>
      <c r="QY31" s="674"/>
      <c r="QZ31" s="660"/>
      <c r="RA31" s="761"/>
      <c r="RB31" s="674"/>
      <c r="RC31" s="609"/>
      <c r="RD31" s="681"/>
      <c r="RE31" s="761"/>
      <c r="RF31" s="674"/>
      <c r="RG31" s="637"/>
      <c r="RH31" s="769"/>
      <c r="RI31" s="573"/>
      <c r="RJ31" s="459"/>
      <c r="RK31" s="573"/>
      <c r="RL31" s="459"/>
      <c r="RM31" s="573"/>
      <c r="RN31" s="336"/>
      <c r="RO31" s="742"/>
      <c r="RP31" s="741"/>
      <c r="RQ31" s="742"/>
      <c r="RR31" s="741"/>
      <c r="RS31" s="456"/>
      <c r="RT31" s="507"/>
      <c r="RU31" s="457"/>
      <c r="RV31" s="456"/>
      <c r="RW31" s="577"/>
      <c r="RX31" s="457"/>
      <c r="RY31" s="459"/>
      <c r="RZ31" s="503"/>
      <c r="SA31" s="573"/>
      <c r="SB31" s="336"/>
      <c r="SC31" s="573"/>
      <c r="SD31" s="336"/>
      <c r="SE31" s="580"/>
      <c r="SF31" s="336"/>
      <c r="SG31" s="580"/>
      <c r="SH31" s="336"/>
      <c r="SI31" s="503"/>
      <c r="SJ31" s="336"/>
      <c r="SK31" s="503"/>
      <c r="SL31" s="336"/>
      <c r="SM31" s="503"/>
      <c r="SN31" s="336"/>
      <c r="SO31" s="503"/>
      <c r="SP31" s="336"/>
      <c r="SQ31" s="573"/>
      <c r="SR31" s="457"/>
      <c r="SS31" s="584"/>
      <c r="ST31" s="459"/>
      <c r="SU31" s="546"/>
      <c r="SV31" s="336"/>
      <c r="SW31" s="573"/>
      <c r="SX31" s="459"/>
      <c r="SY31" s="459"/>
      <c r="SZ31" s="610"/>
      <c r="TA31" s="1166"/>
      <c r="TB31" s="719"/>
      <c r="TC31" s="680"/>
      <c r="TD31" s="719"/>
      <c r="TE31" s="680"/>
      <c r="TF31" s="853"/>
      <c r="TG31" s="610"/>
      <c r="TH31" s="459"/>
      <c r="TI31" s="853"/>
      <c r="TJ31" s="680"/>
      <c r="TK31" s="719"/>
      <c r="TL31" s="680"/>
      <c r="TM31" s="719"/>
      <c r="TN31" s="680"/>
      <c r="TO31" s="853"/>
      <c r="TP31" s="853"/>
      <c r="TQ31" s="459"/>
      <c r="TR31" s="680"/>
      <c r="TS31" s="459"/>
      <c r="TT31" s="680"/>
      <c r="TU31" s="459"/>
      <c r="TV31" s="680"/>
      <c r="TW31" s="459"/>
      <c r="TX31" s="680"/>
      <c r="TY31" s="576"/>
      <c r="TZ31" s="576"/>
      <c r="UA31" s="1358"/>
      <c r="UB31" s="576"/>
      <c r="UC31" s="459"/>
      <c r="UD31" s="680"/>
      <c r="UE31" s="680"/>
      <c r="UF31" s="459"/>
      <c r="UG31" s="680"/>
      <c r="UH31" s="680"/>
      <c r="UI31" s="459"/>
      <c r="UJ31" s="680"/>
      <c r="UK31" s="680"/>
      <c r="UL31" s="459"/>
      <c r="UM31" s="680"/>
      <c r="UN31" s="680"/>
      <c r="UO31" s="576"/>
      <c r="UP31" s="576"/>
      <c r="UQ31" s="1358"/>
      <c r="UR31" s="576"/>
      <c r="US31" s="459"/>
      <c r="UT31" s="853"/>
      <c r="UU31" s="680"/>
      <c r="UV31" s="459"/>
      <c r="UW31" s="853"/>
      <c r="UX31" s="680"/>
      <c r="UY31" s="456"/>
      <c r="UZ31" s="673"/>
      <c r="VA31" s="456"/>
      <c r="VB31" s="1095"/>
      <c r="VC31" s="456"/>
      <c r="VD31" s="610"/>
      <c r="VE31" s="456"/>
      <c r="VF31" s="610"/>
      <c r="VG31" s="583"/>
      <c r="VH31" s="610"/>
      <c r="VI31" s="583"/>
      <c r="VJ31" s="610"/>
      <c r="VK31" s="583"/>
      <c r="VL31" s="853"/>
      <c r="VM31" s="583"/>
      <c r="VN31" s="610"/>
      <c r="VO31" s="582"/>
      <c r="VP31" s="456"/>
      <c r="VQ31" s="448"/>
      <c r="VR31" s="448"/>
      <c r="VS31" s="448"/>
      <c r="VT31" s="448"/>
      <c r="VU31" s="509"/>
      <c r="VV31" s="509"/>
      <c r="VW31" s="509"/>
      <c r="VX31" s="509"/>
      <c r="VY31" s="448"/>
      <c r="VZ31" s="448"/>
      <c r="WA31" s="448"/>
      <c r="WB31" s="448"/>
      <c r="WC31" s="509"/>
      <c r="WD31" s="509"/>
      <c r="WE31" s="509"/>
      <c r="WF31" s="509"/>
      <c r="WG31" s="1356">
        <f>'Проверочная  таблица'!VY31+'Проверочная  таблица'!WA31</f>
        <v>0</v>
      </c>
      <c r="WH31" s="1356">
        <f>'Проверочная  таблица'!VZ31+'Проверочная  таблица'!WB31</f>
        <v>0</v>
      </c>
      <c r="WI31" s="1481"/>
    </row>
    <row r="32" spans="1:607" s="329" customFormat="1" ht="25.5" customHeight="1" x14ac:dyDescent="0.3">
      <c r="A32" s="343" t="s">
        <v>5</v>
      </c>
      <c r="B32" s="524">
        <f>D32+AI32+'Проверочная  таблица'!RS32+'Проверочная  таблица'!SW32</f>
        <v>1878333213.03</v>
      </c>
      <c r="C32" s="517">
        <f>E32+'Проверочная  таблица'!RV32+AJ32+'Проверочная  таблица'!SX32</f>
        <v>1259637766.55</v>
      </c>
      <c r="D32" s="524">
        <f>F32+P32+N32+V32+AA32+H32</f>
        <v>284011885</v>
      </c>
      <c r="E32" s="517">
        <f>G32+Q32+O32+W32+AB32+I32</f>
        <v>230355766</v>
      </c>
      <c r="F32" s="1062">
        <f>'[1]Дотация  из  ОБ_факт'!I28+'[1]Дотация  из  ОБ_факт'!Q28</f>
        <v>211781600</v>
      </c>
      <c r="G32" s="1366">
        <v>175211195</v>
      </c>
      <c r="H32" s="563"/>
      <c r="I32" s="1359"/>
      <c r="J32" s="565"/>
      <c r="K32" s="565"/>
      <c r="L32" s="564"/>
      <c r="M32" s="745"/>
      <c r="N32" s="563">
        <f>'[1]Дотация  из  ОБ_факт'!U28</f>
        <v>71030285</v>
      </c>
      <c r="O32" s="1366">
        <v>55144571</v>
      </c>
      <c r="P32" s="1292"/>
      <c r="Q32" s="1359"/>
      <c r="R32" s="565"/>
      <c r="S32" s="565"/>
      <c r="T32" s="564"/>
      <c r="U32" s="603"/>
      <c r="V32" s="563">
        <f>'[1]Дотация  из  ОБ_факт'!AE28+'[1]Дотация  из  ОБ_факт'!AG28+'[1]Дотация  из  ОБ_факт'!AK28</f>
        <v>1200000</v>
      </c>
      <c r="W32" s="163">
        <f>SUM(X32:Z32)</f>
        <v>0</v>
      </c>
      <c r="X32" s="833"/>
      <c r="Y32" s="566"/>
      <c r="Z32" s="567"/>
      <c r="AA32" s="563"/>
      <c r="AB32" s="447"/>
      <c r="AC32" s="568"/>
      <c r="AD32" s="569"/>
      <c r="AE32" s="565"/>
      <c r="AF32" s="565"/>
      <c r="AG32" s="564"/>
      <c r="AH32" s="736"/>
      <c r="AI32" s="559">
        <f>'Проверочная  таблица'!KI32+NU32+OA32+'Проверочная  таблица'!RK32+'Проверочная  таблица'!RM32+DE32+DG32+DM32+DO32+'Проверочная  таблица'!MY32+'Проверочная  таблица'!NC32+CG32+CQ32+'Проверочная  таблица'!HE32+'Проверочная  таблица'!HW32+'Проверочная  таблица'!ES32+'Проверочная  таблица'!JY32+DU32+'Проверочная  таблица'!GA32+'Проверочная  таблица'!GG32+'Проверочная  таблица'!LG32+'Проверочная  таблица'!LU32+FU32+'Проверочная  таблица'!KU32+RI32+OS32+PG32+EK32+AK32+AW32+FO32+FE32+GY32+EY32</f>
        <v>743070073.02999997</v>
      </c>
      <c r="AJ32" s="487">
        <f>'Проверочная  таблица'!KO32+NX32+OD32+'Проверочная  таблица'!RL32+'Проверочная  таблица'!RN32+DF32+DH32+DN32+DP32+'Проверочная  таблица'!NA32+'Проверочная  таблица'!NF32+CL32+CV32+'Проверочная  таблица'!HN32+'Проверочная  таблица'!IF32+'Проверочная  таблица'!EV32+'Проверочная  таблица'!KD32+EC32+'Проверочная  таблица'!GD32+'Проверочная  таблица'!GJ32+'Проверочная  таблица'!LN32+'Проверочная  таблица'!LZ32+FX32+'Проверочная  таблица'!KY32+FR32+RJ32+PP32+OZ32+EM32+AQ32+BC32+FJ32+HB32+FB32</f>
        <v>390006970.63999999</v>
      </c>
      <c r="AK32" s="524">
        <f>SUM(AL32:AP32)</f>
        <v>114764085</v>
      </c>
      <c r="AL32" s="332">
        <f>[1]Субсидия_факт!CO30</f>
        <v>0</v>
      </c>
      <c r="AM32" s="498">
        <f>[1]Субсидия_факт!FK30</f>
        <v>114764085</v>
      </c>
      <c r="AN32" s="498">
        <f>[1]Субсидия_факт!FW30</f>
        <v>0</v>
      </c>
      <c r="AO32" s="523">
        <f>[1]Субсидия_факт!KA30</f>
        <v>0</v>
      </c>
      <c r="AP32" s="332">
        <f>[1]Субсидия_факт!LE30</f>
        <v>0</v>
      </c>
      <c r="AQ32" s="517">
        <f>SUM(AR32:AV32)</f>
        <v>0</v>
      </c>
      <c r="AR32" s="333"/>
      <c r="AS32" s="333">
        <v>0</v>
      </c>
      <c r="AT32" s="333"/>
      <c r="AU32" s="333"/>
      <c r="AV32" s="333"/>
      <c r="AW32" s="517"/>
      <c r="AX32" s="452"/>
      <c r="AY32" s="332"/>
      <c r="AZ32" s="476"/>
      <c r="BA32" s="496"/>
      <c r="BB32" s="498"/>
      <c r="BC32" s="517"/>
      <c r="BD32" s="529"/>
      <c r="BE32" s="529"/>
      <c r="BF32" s="333"/>
      <c r="BG32" s="530"/>
      <c r="BH32" s="529"/>
      <c r="BI32" s="633"/>
      <c r="BJ32" s="1025"/>
      <c r="BK32" s="452"/>
      <c r="BL32" s="452"/>
      <c r="BM32" s="332"/>
      <c r="BN32" s="488"/>
      <c r="BO32" s="570"/>
      <c r="BP32" s="607"/>
      <c r="BQ32" s="496"/>
      <c r="BR32" s="332"/>
      <c r="BS32" s="430"/>
      <c r="BT32" s="332"/>
      <c r="BU32" s="633"/>
      <c r="BV32" s="452"/>
      <c r="BW32" s="332"/>
      <c r="BX32" s="476"/>
      <c r="BY32" s="430"/>
      <c r="BZ32" s="332"/>
      <c r="CA32" s="570"/>
      <c r="CB32" s="782"/>
      <c r="CC32" s="529"/>
      <c r="CD32" s="462"/>
      <c r="CE32" s="529"/>
      <c r="CF32" s="529"/>
      <c r="CG32" s="516">
        <f>SUM(CH32:CK32)</f>
        <v>185552500</v>
      </c>
      <c r="CH32" s="452">
        <f>[1]Субсидия_факт!LM30</f>
        <v>81220000</v>
      </c>
      <c r="CI32" s="332">
        <f>[1]Субсидия_факт!LS30</f>
        <v>5000000</v>
      </c>
      <c r="CJ32" s="332">
        <f>[1]Субсидия_факт!ME30</f>
        <v>0</v>
      </c>
      <c r="CK32" s="498">
        <f>[1]Субсидия_факт!MK30</f>
        <v>99332500</v>
      </c>
      <c r="CL32" s="517">
        <f>SUM(CM32:CP32)</f>
        <v>23349923.859999999</v>
      </c>
      <c r="CM32" s="782"/>
      <c r="CN32" s="529">
        <v>0</v>
      </c>
      <c r="CO32" s="529"/>
      <c r="CP32" s="1382">
        <v>23349923.859999999</v>
      </c>
      <c r="CQ32" s="517"/>
      <c r="CR32" s="332"/>
      <c r="CS32" s="332"/>
      <c r="CT32" s="332"/>
      <c r="CU32" s="523"/>
      <c r="CV32" s="517"/>
      <c r="CW32" s="529"/>
      <c r="CX32" s="530"/>
      <c r="CY32" s="529"/>
      <c r="CZ32" s="782"/>
      <c r="DA32" s="526"/>
      <c r="DB32" s="526"/>
      <c r="DC32" s="526"/>
      <c r="DD32" s="526"/>
      <c r="DE32" s="524">
        <f>[1]Субсидия_факт!GC30</f>
        <v>13574122.119999999</v>
      </c>
      <c r="DF32" s="1389">
        <v>4072236.64</v>
      </c>
      <c r="DG32" s="522"/>
      <c r="DH32" s="330"/>
      <c r="DI32" s="757"/>
      <c r="DJ32" s="570"/>
      <c r="DK32" s="757"/>
      <c r="DL32" s="1260"/>
      <c r="DM32" s="517">
        <f>[1]Субсидия_факт!GI30</f>
        <v>714427.48</v>
      </c>
      <c r="DN32" s="1382">
        <v>214328.24</v>
      </c>
      <c r="DO32" s="517"/>
      <c r="DP32" s="330"/>
      <c r="DQ32" s="525"/>
      <c r="DR32" s="526"/>
      <c r="DS32" s="757"/>
      <c r="DT32" s="331"/>
      <c r="DU32" s="522">
        <f>SUM(DV32:EB32)</f>
        <v>3800000</v>
      </c>
      <c r="DV32" s="523">
        <f>[1]Субсидия_факт!E30</f>
        <v>2000000</v>
      </c>
      <c r="DW32" s="1025">
        <f>[1]Субсидия_факт!G30</f>
        <v>0</v>
      </c>
      <c r="DX32" s="678">
        <f>[1]Субсидия_факт!I30</f>
        <v>0</v>
      </c>
      <c r="DY32" s="498">
        <f>[1]Субсидия_факт!K30</f>
        <v>0</v>
      </c>
      <c r="DZ32" s="786">
        <f>[1]Субсидия_факт!M30</f>
        <v>0</v>
      </c>
      <c r="EA32" s="498">
        <f>[1]Субсидия_факт!O30</f>
        <v>1800000</v>
      </c>
      <c r="EB32" s="636">
        <f>[1]Субсидия_факт!Q30</f>
        <v>0</v>
      </c>
      <c r="EC32" s="517">
        <f>SUM(ED32:EJ32)</f>
        <v>831622.15999999992</v>
      </c>
      <c r="ED32" s="723">
        <v>548079.86</v>
      </c>
      <c r="EE32" s="782"/>
      <c r="EF32" s="682"/>
      <c r="EG32" s="782"/>
      <c r="EH32" s="682"/>
      <c r="EI32" s="530">
        <v>283542.3</v>
      </c>
      <c r="EJ32" s="782"/>
      <c r="EK32" s="517"/>
      <c r="EL32" s="782"/>
      <c r="EM32" s="517"/>
      <c r="EN32" s="782"/>
      <c r="EO32" s="570"/>
      <c r="EP32" s="570"/>
      <c r="EQ32" s="570"/>
      <c r="ER32" s="570"/>
      <c r="ES32" s="524">
        <f>SUM(ET32:EU32)</f>
        <v>0</v>
      </c>
      <c r="ET32" s="523">
        <f>[1]Субсидия_факт!AU30</f>
        <v>0</v>
      </c>
      <c r="EU32" s="686">
        <f>[1]Субсидия_факт!AW30</f>
        <v>0</v>
      </c>
      <c r="EV32" s="517">
        <f>SUM(EW32:EX32)</f>
        <v>0</v>
      </c>
      <c r="EW32" s="530"/>
      <c r="EX32" s="682"/>
      <c r="EY32" s="524">
        <f>SUM(EZ32:FA32)</f>
        <v>0</v>
      </c>
      <c r="EZ32" s="523">
        <f>[1]Субсидия_факт!FY30</f>
        <v>0</v>
      </c>
      <c r="FA32" s="686">
        <f>[1]Субсидия_факт!GA30</f>
        <v>0</v>
      </c>
      <c r="FB32" s="517">
        <f>SUM(FC32:FD32)</f>
        <v>0</v>
      </c>
      <c r="FC32" s="530"/>
      <c r="FD32" s="682"/>
      <c r="FE32" s="517">
        <f t="shared" ref="FE32:FE33" si="277">SUM(FF32:FI32)</f>
        <v>2864400</v>
      </c>
      <c r="FF32" s="452">
        <f>[1]Субсидия_факт!W30</f>
        <v>143220</v>
      </c>
      <c r="FG32" s="686">
        <f>[1]Субсидия_факт!Y30</f>
        <v>2721180</v>
      </c>
      <c r="FH32" s="452">
        <f>[1]Субсидия_факт!AA30</f>
        <v>0</v>
      </c>
      <c r="FI32" s="686">
        <f>[1]Субсидия_факт!AC30</f>
        <v>0</v>
      </c>
      <c r="FJ32" s="517">
        <f t="shared" ref="FJ32:FJ33" si="278">SUM(FK32:FN32)</f>
        <v>0</v>
      </c>
      <c r="FK32" s="462"/>
      <c r="FL32" s="682"/>
      <c r="FM32" s="462"/>
      <c r="FN32" s="682"/>
      <c r="FO32" s="524">
        <f>SUM(FP32:FQ32)</f>
        <v>0</v>
      </c>
      <c r="FP32" s="523">
        <f>[1]Субсидия_факт!AY30</f>
        <v>0</v>
      </c>
      <c r="FQ32" s="686">
        <f>[1]Субсидия_факт!BA30</f>
        <v>0</v>
      </c>
      <c r="FR32" s="517">
        <f>SUM(FS32:FT32)</f>
        <v>0</v>
      </c>
      <c r="FS32" s="530"/>
      <c r="FT32" s="682"/>
      <c r="FU32" s="524">
        <f t="shared" ref="FU32:FU33" si="279">SUM(FV32:FW32)</f>
        <v>6082100</v>
      </c>
      <c r="FV32" s="498">
        <f>[1]Субсидия_факт!EE30</f>
        <v>1703000</v>
      </c>
      <c r="FW32" s="686">
        <f>[1]Субсидия_факт!EG30</f>
        <v>4379100</v>
      </c>
      <c r="FX32" s="517">
        <f t="shared" ref="FX32:FX33" si="280">SUM(FY32:FZ32)</f>
        <v>5329484.1100000003</v>
      </c>
      <c r="FY32" s="529">
        <v>1492266.0600000005</v>
      </c>
      <c r="FZ32" s="682">
        <v>3837218.05</v>
      </c>
      <c r="GA32" s="524">
        <f>SUM(GB32:GC32)</f>
        <v>0</v>
      </c>
      <c r="GB32" s="523">
        <f>[1]Субсидия_факт!DS30</f>
        <v>0</v>
      </c>
      <c r="GC32" s="686">
        <f>[1]Субсидия_факт!DY30</f>
        <v>0</v>
      </c>
      <c r="GD32" s="517">
        <f>SUM(GE32:GF32)</f>
        <v>0</v>
      </c>
      <c r="GE32" s="782"/>
      <c r="GF32" s="682"/>
      <c r="GG32" s="517"/>
      <c r="GH32" s="523"/>
      <c r="GI32" s="686"/>
      <c r="GJ32" s="517"/>
      <c r="GK32" s="529"/>
      <c r="GL32" s="704"/>
      <c r="GM32" s="570"/>
      <c r="GN32" s="642"/>
      <c r="GO32" s="678"/>
      <c r="GP32" s="757"/>
      <c r="GQ32" s="607"/>
      <c r="GR32" s="765"/>
      <c r="GS32" s="570"/>
      <c r="GT32" s="523"/>
      <c r="GU32" s="931"/>
      <c r="GV32" s="570"/>
      <c r="GW32" s="523"/>
      <c r="GX32" s="686"/>
      <c r="GY32" s="517">
        <f t="shared" ref="GY32:GY33" si="281">SUM(GZ32:HA32)</f>
        <v>0</v>
      </c>
      <c r="GZ32" s="607">
        <f>[1]Субсидия_факт!AE30</f>
        <v>0</v>
      </c>
      <c r="HA32" s="678">
        <f>[1]Субсидия_факт!AG30</f>
        <v>0</v>
      </c>
      <c r="HB32" s="517">
        <f t="shared" ref="HB32:HB33" si="282">SUM(HC32:HD32)</f>
        <v>0</v>
      </c>
      <c r="HC32" s="607"/>
      <c r="HD32" s="678"/>
      <c r="HE32" s="517">
        <f>SUM(HF32:HM32)</f>
        <v>254320.65000000002</v>
      </c>
      <c r="HF32" s="607">
        <f>[1]Субсидия_факт!BW30</f>
        <v>0</v>
      </c>
      <c r="HG32" s="678">
        <f>[1]Субсидия_факт!CC30</f>
        <v>0</v>
      </c>
      <c r="HH32" s="523">
        <f>[1]Субсидия_факт!CU30</f>
        <v>228260.87000000002</v>
      </c>
      <c r="HI32" s="931">
        <f>[1]Субсидия_факт!DA30</f>
        <v>26059.78</v>
      </c>
      <c r="HJ32" s="523">
        <f>[1]Субсидия_факт!DG30</f>
        <v>0</v>
      </c>
      <c r="HK32" s="931">
        <f>[1]Субсидия_факт!DM30</f>
        <v>0</v>
      </c>
      <c r="HL32" s="523">
        <f>[1]Субсидия_факт!EI30</f>
        <v>0</v>
      </c>
      <c r="HM32" s="686">
        <f>[1]Субсидия_факт!EO30</f>
        <v>0</v>
      </c>
      <c r="HN32" s="517">
        <f>SUM(HO32:HV32)</f>
        <v>254320.65000000002</v>
      </c>
      <c r="HO32" s="529"/>
      <c r="HP32" s="682"/>
      <c r="HQ32" s="607">
        <f t="shared" ref="HQ32:HR32" si="283">HH32</f>
        <v>228260.87000000002</v>
      </c>
      <c r="HR32" s="678">
        <f t="shared" si="283"/>
        <v>26059.78</v>
      </c>
      <c r="HS32" s="529"/>
      <c r="HT32" s="771"/>
      <c r="HU32" s="529"/>
      <c r="HV32" s="682"/>
      <c r="HW32" s="517"/>
      <c r="HX32" s="529"/>
      <c r="HY32" s="682"/>
      <c r="HZ32" s="523"/>
      <c r="IA32" s="686"/>
      <c r="IB32" s="523"/>
      <c r="IC32" s="931"/>
      <c r="ID32" s="523"/>
      <c r="IE32" s="686"/>
      <c r="IF32" s="516"/>
      <c r="IG32" s="529"/>
      <c r="IH32" s="682"/>
      <c r="II32" s="530"/>
      <c r="IJ32" s="682"/>
      <c r="IK32" s="530"/>
      <c r="IL32" s="682"/>
      <c r="IM32" s="529"/>
      <c r="IN32" s="682"/>
      <c r="IO32" s="570"/>
      <c r="IP32" s="529"/>
      <c r="IQ32" s="682"/>
      <c r="IR32" s="607"/>
      <c r="IS32" s="678"/>
      <c r="IT32" s="642"/>
      <c r="IU32" s="678"/>
      <c r="IV32" s="607"/>
      <c r="IW32" s="678"/>
      <c r="IX32" s="570"/>
      <c r="IY32" s="529"/>
      <c r="IZ32" s="682"/>
      <c r="JA32" s="607"/>
      <c r="JB32" s="765"/>
      <c r="JC32" s="607"/>
      <c r="JD32" s="765"/>
      <c r="JE32" s="607"/>
      <c r="JF32" s="765"/>
      <c r="JG32" s="570"/>
      <c r="JH32" s="529"/>
      <c r="JI32" s="682"/>
      <c r="JJ32" s="523"/>
      <c r="JK32" s="686"/>
      <c r="JL32" s="523"/>
      <c r="JM32" s="931"/>
      <c r="JN32" s="523"/>
      <c r="JO32" s="686"/>
      <c r="JP32" s="605"/>
      <c r="JQ32" s="529"/>
      <c r="JR32" s="682"/>
      <c r="JS32" s="498"/>
      <c r="JT32" s="786"/>
      <c r="JU32" s="498"/>
      <c r="JV32" s="790"/>
      <c r="JW32" s="529"/>
      <c r="JX32" s="682"/>
      <c r="JY32" s="517">
        <f t="shared" ref="JY32:JY33" si="284">SUM(JZ32:KC32)</f>
        <v>0</v>
      </c>
      <c r="JZ32" s="523">
        <f>[1]Субсидия_факт!BC30</f>
        <v>0</v>
      </c>
      <c r="KA32" s="686">
        <f>[1]Субсидия_факт!BE30</f>
        <v>0</v>
      </c>
      <c r="KB32" s="498">
        <f>[1]Субсидия_факт!BG30</f>
        <v>0</v>
      </c>
      <c r="KC32" s="686">
        <f>[1]Субсидия_факт!BI30</f>
        <v>0</v>
      </c>
      <c r="KD32" s="517">
        <f t="shared" ref="KD32:KD33" si="285">SUM(KE32:KH32)</f>
        <v>0</v>
      </c>
      <c r="KE32" s="529"/>
      <c r="KF32" s="682"/>
      <c r="KG32" s="529"/>
      <c r="KH32" s="682"/>
      <c r="KI32" s="524">
        <f>SUM(KJ32:KN32)</f>
        <v>2764057.93</v>
      </c>
      <c r="KJ32" s="523">
        <f>[1]Субсидия_факт!HO30</f>
        <v>2764057.93</v>
      </c>
      <c r="KK32" s="498">
        <f>[1]Субсидия_факт!HQ30</f>
        <v>0</v>
      </c>
      <c r="KL32" s="686">
        <f>[1]Субсидия_факт!HS30</f>
        <v>0</v>
      </c>
      <c r="KM32" s="498">
        <f>[1]Субсидия_факт!IC30</f>
        <v>0</v>
      </c>
      <c r="KN32" s="686">
        <f>[1]Субсидия_факт!IE30</f>
        <v>0</v>
      </c>
      <c r="KO32" s="517">
        <f t="shared" ref="KO32:KO33" si="286">SUM(KP32:KT32)</f>
        <v>2764057.93</v>
      </c>
      <c r="KP32" s="607">
        <f t="shared" ref="KP32:KP33" si="287">KJ32</f>
        <v>2764057.93</v>
      </c>
      <c r="KQ32" s="333"/>
      <c r="KR32" s="682"/>
      <c r="KS32" s="462"/>
      <c r="KT32" s="682"/>
      <c r="KU32" s="517"/>
      <c r="KV32" s="498">
        <f>[1]Субсидия_факт!HY30</f>
        <v>0</v>
      </c>
      <c r="KW32" s="498">
        <f>[1]Субсидия_факт!HU30</f>
        <v>0</v>
      </c>
      <c r="KX32" s="686">
        <f>[1]Субсидия_факт!HW30</f>
        <v>0</v>
      </c>
      <c r="KY32" s="517"/>
      <c r="KZ32" s="529"/>
      <c r="LA32" s="529"/>
      <c r="LB32" s="682"/>
      <c r="LC32" s="852"/>
      <c r="LD32" s="852"/>
      <c r="LE32" s="633"/>
      <c r="LF32" s="936"/>
      <c r="LG32" s="648">
        <f t="shared" ref="LG32:LG33" si="288">SUM(LH32:LM32)</f>
        <v>57009629.630000003</v>
      </c>
      <c r="LH32" s="523">
        <f>[1]Субсидия_факт!OG30</f>
        <v>1250000</v>
      </c>
      <c r="LI32" s="931">
        <f>[1]Субсидия_факт!OM30</f>
        <v>23750000</v>
      </c>
      <c r="LJ32" s="523">
        <f>[1]Субсидия_факт!OS30</f>
        <v>1600000</v>
      </c>
      <c r="LK32" s="686">
        <f>[1]Субсидия_факт!OY30</f>
        <v>30400000</v>
      </c>
      <c r="LL32" s="607">
        <f>[1]Субсидия_факт!PE30</f>
        <v>4429.6299999999992</v>
      </c>
      <c r="LM32" s="710">
        <f>[1]Субсидия_факт!PI30</f>
        <v>5200</v>
      </c>
      <c r="LN32" s="648">
        <f>SUM(LO32:LT32)</f>
        <v>4048298.17</v>
      </c>
      <c r="LO32" s="530">
        <v>173158.91</v>
      </c>
      <c r="LP32" s="682">
        <f>3463178.17-LO32</f>
        <v>3290019.26</v>
      </c>
      <c r="LQ32" s="529">
        <v>29256</v>
      </c>
      <c r="LR32" s="774">
        <f>585120-LQ32</f>
        <v>555864</v>
      </c>
      <c r="LS32" s="529"/>
      <c r="LT32" s="774"/>
      <c r="LU32" s="648"/>
      <c r="LV32" s="523"/>
      <c r="LW32" s="931"/>
      <c r="LX32" s="498"/>
      <c r="LY32" s="686"/>
      <c r="LZ32" s="720"/>
      <c r="MA32" s="529"/>
      <c r="MB32" s="774"/>
      <c r="MC32" s="529"/>
      <c r="MD32" s="682"/>
      <c r="ME32" s="652"/>
      <c r="MF32" s="642"/>
      <c r="MG32" s="678"/>
      <c r="MH32" s="765"/>
      <c r="MI32" s="607"/>
      <c r="MJ32" s="652"/>
      <c r="MK32" s="642"/>
      <c r="ML32" s="678"/>
      <c r="MM32" s="765"/>
      <c r="MN32" s="607"/>
      <c r="MO32" s="778"/>
      <c r="MP32" s="523"/>
      <c r="MQ32" s="931"/>
      <c r="MR32" s="931"/>
      <c r="MS32" s="523"/>
      <c r="MT32" s="652"/>
      <c r="MU32" s="530"/>
      <c r="MV32" s="682"/>
      <c r="MW32" s="786"/>
      <c r="MX32" s="498"/>
      <c r="MY32" s="517">
        <f>SUM('Проверочная  таблица'!MZ32:MZ32)</f>
        <v>0</v>
      </c>
      <c r="MZ32" s="333"/>
      <c r="NA32" s="517">
        <f>SUM('Проверочная  таблица'!NB32:NB32)</f>
        <v>0</v>
      </c>
      <c r="NB32" s="333"/>
      <c r="NC32" s="524"/>
      <c r="ND32" s="452"/>
      <c r="NE32" s="686"/>
      <c r="NF32" s="524"/>
      <c r="NG32" s="782"/>
      <c r="NH32" s="682"/>
      <c r="NI32" s="633"/>
      <c r="NJ32" s="476"/>
      <c r="NK32" s="765"/>
      <c r="NL32" s="633"/>
      <c r="NM32" s="476"/>
      <c r="NN32" s="765"/>
      <c r="NO32" s="633"/>
      <c r="NP32" s="332"/>
      <c r="NQ32" s="786"/>
      <c r="NR32" s="633"/>
      <c r="NS32" s="476"/>
      <c r="NT32" s="710"/>
      <c r="NU32" s="517">
        <f t="shared" ref="NU32:NU33" si="289">SUM(NV32:NW32)</f>
        <v>0</v>
      </c>
      <c r="NV32" s="332">
        <f>[1]Субсидия_факт!FA30</f>
        <v>0</v>
      </c>
      <c r="NW32" s="786">
        <f>[1]Субсидия_факт!FC30</f>
        <v>0</v>
      </c>
      <c r="NX32" s="517">
        <f t="shared" ref="NX32:NX33" si="290">SUM(NY32:NZ32)</f>
        <v>0</v>
      </c>
      <c r="NY32" s="462"/>
      <c r="NZ32" s="682"/>
      <c r="OA32" s="517"/>
      <c r="OD32" s="517"/>
      <c r="OG32" s="526"/>
      <c r="OJ32" s="526"/>
      <c r="OM32" s="526"/>
      <c r="OP32" s="526"/>
      <c r="OS32" s="524">
        <f>SUM(OT32:OY32)</f>
        <v>0</v>
      </c>
      <c r="OT32" s="498">
        <f>[1]Субсидия_факт!JO30</f>
        <v>0</v>
      </c>
      <c r="OU32" s="786">
        <f>[1]Субсидия_факт!JQ30</f>
        <v>0</v>
      </c>
      <c r="OV32" s="332">
        <f>[1]Субсидия_факт!KS30</f>
        <v>0</v>
      </c>
      <c r="OW32" s="686">
        <f>[1]Субсидия_факт!KY30</f>
        <v>0</v>
      </c>
      <c r="OX32" s="498">
        <f>[1]Субсидия_факт!KG30</f>
        <v>0</v>
      </c>
      <c r="OY32" s="786">
        <f>[1]Субсидия_факт!KM30</f>
        <v>0</v>
      </c>
      <c r="OZ32" s="517">
        <f>SUM(PA32:PF32)</f>
        <v>0</v>
      </c>
      <c r="PA32" s="462"/>
      <c r="PB32" s="682"/>
      <c r="PC32" s="333"/>
      <c r="PD32" s="682"/>
      <c r="PE32" s="462"/>
      <c r="PF32" s="682"/>
      <c r="PG32" s="524"/>
      <c r="PH32" s="498"/>
      <c r="PI32" s="931"/>
      <c r="PJ32" s="476"/>
      <c r="PK32" s="678"/>
      <c r="PL32" s="498"/>
      <c r="PM32" s="791"/>
      <c r="PN32" s="498"/>
      <c r="PO32" s="686"/>
      <c r="PP32" s="524"/>
      <c r="PQ32" s="529"/>
      <c r="PR32" s="704"/>
      <c r="PS32" s="462"/>
      <c r="PT32" s="682"/>
      <c r="PU32" s="529"/>
      <c r="PV32" s="774"/>
      <c r="PW32" s="529"/>
      <c r="PX32" s="682"/>
      <c r="PY32" s="633"/>
      <c r="PZ32" s="332"/>
      <c r="QA32" s="686"/>
      <c r="QB32" s="452"/>
      <c r="QC32" s="686"/>
      <c r="QD32" s="452"/>
      <c r="QE32" s="686"/>
      <c r="QF32" s="332"/>
      <c r="QG32" s="686"/>
      <c r="QH32" s="633"/>
      <c r="QI32" s="332"/>
      <c r="QJ32" s="791"/>
      <c r="QK32" s="462"/>
      <c r="QL32" s="682"/>
      <c r="QM32" s="332"/>
      <c r="QN32" s="786"/>
      <c r="QO32" s="332"/>
      <c r="QP32" s="686"/>
      <c r="QQ32" s="570"/>
      <c r="QR32" s="430"/>
      <c r="QS32" s="686"/>
      <c r="QT32" s="1025"/>
      <c r="QU32" s="678"/>
      <c r="QV32" s="332"/>
      <c r="QW32" s="786"/>
      <c r="QX32" s="332"/>
      <c r="QY32" s="686"/>
      <c r="QZ32" s="570"/>
      <c r="RA32" s="530"/>
      <c r="RB32" s="678"/>
      <c r="RC32" s="462"/>
      <c r="RD32" s="682"/>
      <c r="RE32" s="530"/>
      <c r="RF32" s="682"/>
      <c r="RG32" s="529"/>
      <c r="RH32" s="765"/>
      <c r="RI32" s="517">
        <f>[1]Субсидия_факт!PW30</f>
        <v>0</v>
      </c>
      <c r="RJ32" s="527"/>
      <c r="RK32" s="524">
        <f>'Прочая  субсидия_МР  и  ГО'!B28</f>
        <v>355690430.21999997</v>
      </c>
      <c r="RL32" s="517">
        <f>'Прочая  субсидия_МР  и  ГО'!C28</f>
        <v>349142698.87999994</v>
      </c>
      <c r="RM32" s="527"/>
      <c r="RN32" s="527"/>
      <c r="RO32" s="585"/>
      <c r="RP32" s="586"/>
      <c r="RQ32" s="585"/>
      <c r="RR32" s="586"/>
      <c r="RS32" s="454">
        <f>SUM(RT32:RU32)</f>
        <v>801251255</v>
      </c>
      <c r="RT32" s="332">
        <f>'Проверочная  таблица'!SR32+'Проверочная  таблица'!RY32+'Проверочная  таблица'!SA32+'Проверочная  таблица'!SC32</f>
        <v>791963541</v>
      </c>
      <c r="RU32" s="332">
        <f>'Проверочная  таблица'!SS32+'Проверочная  таблица'!SE32+'Проверочная  таблица'!SK32+'Проверочная  таблица'!SG32+'Проверочная  таблица'!SO32+'Проверочная  таблица'!SI32+SM32</f>
        <v>9287714</v>
      </c>
      <c r="RV32" s="517">
        <f>SUM(RW32:RX32)</f>
        <v>618775029.90999997</v>
      </c>
      <c r="RW32" s="332">
        <f>'Проверочная  таблица'!SU32+'Проверочная  таблица'!RZ32+'Проверочная  таблица'!SB32+'Проверочная  таблица'!SD32</f>
        <v>610896455.25999999</v>
      </c>
      <c r="RX32" s="332">
        <f>'Проверочная  таблица'!SV32+'Проверочная  таблица'!SF32+'Проверочная  таблица'!SL32+'Проверочная  таблица'!SH32+'Проверочная  таблица'!SP32+'Проверочная  таблица'!SJ32+SN32</f>
        <v>7878574.6500000004</v>
      </c>
      <c r="RY32" s="517">
        <f>'Субвенция  на  полномочия'!B26</f>
        <v>739146541</v>
      </c>
      <c r="RZ32" s="524">
        <f>'Субвенция  на  полномочия'!C26</f>
        <v>567009455.25999999</v>
      </c>
      <c r="SA32" s="271">
        <f>[1]Субвенция_факт!P29*1000</f>
        <v>30496000</v>
      </c>
      <c r="SB32" s="1389">
        <v>22300000</v>
      </c>
      <c r="SC32" s="271">
        <f>[1]Субвенция_факт!K29*1000</f>
        <v>19941000</v>
      </c>
      <c r="SD32" s="1389">
        <v>19207000</v>
      </c>
      <c r="SE32" s="271">
        <f>[1]Субвенция_факт!AD29*1000</f>
        <v>0</v>
      </c>
      <c r="SF32" s="734"/>
      <c r="SG32" s="271">
        <f>[1]Субвенция_факт!AE29*1000</f>
        <v>17000</v>
      </c>
      <c r="SH32" s="734">
        <v>17000</v>
      </c>
      <c r="SI32" s="271">
        <f>[1]Субвенция_факт!E29*1000</f>
        <v>3595902</v>
      </c>
      <c r="SJ32" s="734">
        <f>2383632+1191816</f>
        <v>3575448</v>
      </c>
      <c r="SK32" s="271">
        <f>[1]Субвенция_факт!F29*1000</f>
        <v>611962</v>
      </c>
      <c r="SL32" s="826">
        <v>595908</v>
      </c>
      <c r="SM32" s="163">
        <f>[1]Субвенция_факт!G29*1000</f>
        <v>1223730</v>
      </c>
      <c r="SN32" s="572">
        <v>1191816</v>
      </c>
      <c r="SO32" s="271">
        <f>[1]Субвенция_факт!H29*1000</f>
        <v>0</v>
      </c>
      <c r="SP32" s="734"/>
      <c r="SQ32" s="524">
        <f>SR32+SS32</f>
        <v>6219120</v>
      </c>
      <c r="SR32" s="879">
        <f>[1]Субвенция_факт!AC29*1000</f>
        <v>2380000</v>
      </c>
      <c r="SS32" s="874">
        <f>[1]Субвенция_факт!AB29*1000</f>
        <v>3839120</v>
      </c>
      <c r="ST32" s="517">
        <f>SUM(SU32:SV32)</f>
        <v>4878402.6500000004</v>
      </c>
      <c r="SU32" s="1505">
        <v>2380000</v>
      </c>
      <c r="SV32" s="1506">
        <v>2498402.65</v>
      </c>
      <c r="SW32" s="1464">
        <f>'Проверочная  таблица'!VC32+'Проверочная  таблица'!UY32+'Проверочная  таблица'!TQ32+'Проверочная  таблица'!TU32+SY32+'Проверочная  таблица'!US32+UC32+UI32</f>
        <v>50000000</v>
      </c>
      <c r="SX32" s="1465">
        <f>'Проверочная  таблица'!VE32+'Проверочная  таблица'!VA32+'Проверочная  таблица'!TS32+'Проверочная  таблица'!TW32+TH32+'Проверочная  таблица'!UV32+UF32+UL32</f>
        <v>20500000</v>
      </c>
      <c r="SY32" s="991">
        <f>SUM(SZ32:TG32)</f>
        <v>0</v>
      </c>
      <c r="SZ32" s="879">
        <f>'[1]Иные межбюджетные трансферты'!O30</f>
        <v>0</v>
      </c>
      <c r="TA32" s="1111">
        <f>'[1]Иные межбюджетные трансферты'!Q30</f>
        <v>0</v>
      </c>
      <c r="TB32" s="879">
        <f>'[1]Иные межбюджетные трансферты'!I30</f>
        <v>0</v>
      </c>
      <c r="TC32" s="958">
        <f>'[1]Иные межбюджетные трансферты'!K30</f>
        <v>0</v>
      </c>
      <c r="TD32" s="879">
        <f>'[1]Иные межбюджетные трансферты'!S30</f>
        <v>0</v>
      </c>
      <c r="TE32" s="958">
        <f>'[1]Иные межбюджетные трансферты'!U30</f>
        <v>0</v>
      </c>
      <c r="TF32" s="1233">
        <f>'[1]Иные межбюджетные трансферты'!M30</f>
        <v>0</v>
      </c>
      <c r="TG32" s="874">
        <f>'[1]Иные межбюджетные трансферты'!W30</f>
        <v>0</v>
      </c>
      <c r="TH32" s="991">
        <f>SUM(TI32:TP32)</f>
        <v>0</v>
      </c>
      <c r="TI32" s="984"/>
      <c r="TJ32" s="982"/>
      <c r="TK32" s="879"/>
      <c r="TL32" s="958"/>
      <c r="TM32" s="879"/>
      <c r="TN32" s="958"/>
      <c r="TO32" s="984"/>
      <c r="TP32" s="984"/>
      <c r="TQ32" s="973">
        <f t="shared" ref="TQ32:TS33" si="291">TR32</f>
        <v>0</v>
      </c>
      <c r="TR32" s="958">
        <f>'[1]Иные межбюджетные трансферты'!Y30</f>
        <v>0</v>
      </c>
      <c r="TS32" s="973">
        <f t="shared" si="291"/>
        <v>0</v>
      </c>
      <c r="TT32" s="958"/>
      <c r="TU32" s="973">
        <f t="shared" ref="TU32" si="292">TV32</f>
        <v>0</v>
      </c>
      <c r="TV32" s="958"/>
      <c r="TW32" s="973">
        <f>TX32</f>
        <v>0</v>
      </c>
      <c r="TX32" s="958"/>
      <c r="TY32" s="970"/>
      <c r="TZ32" s="970"/>
      <c r="UA32" s="976"/>
      <c r="UB32" s="970"/>
      <c r="UC32" s="973">
        <f>SUM(UD32:UE32)</f>
        <v>50000000</v>
      </c>
      <c r="UD32" s="1144">
        <f>'[1]Иные межбюджетные трансферты'!AE30</f>
        <v>0</v>
      </c>
      <c r="UE32" s="1145">
        <f>'[1]Иные межбюджетные трансферты'!AK30</f>
        <v>50000000</v>
      </c>
      <c r="UF32" s="973">
        <f>SUM(UG32:UH32)</f>
        <v>20500000</v>
      </c>
      <c r="UG32" s="958"/>
      <c r="UH32" s="1372">
        <v>20500000</v>
      </c>
      <c r="UI32" s="973">
        <f>SUM(UJ32:UK32)</f>
        <v>0</v>
      </c>
      <c r="UJ32" s="1145"/>
      <c r="UK32" s="1145"/>
      <c r="UL32" s="973">
        <f>SUM(UM32:UN32)</f>
        <v>0</v>
      </c>
      <c r="UM32" s="958"/>
      <c r="UN32" s="958"/>
      <c r="UO32" s="970"/>
      <c r="UP32" s="970"/>
      <c r="UQ32" s="976"/>
      <c r="UR32" s="970"/>
      <c r="US32" s="163">
        <f>SUM(UT32:UU32)</f>
        <v>0</v>
      </c>
      <c r="UT32" s="874">
        <f>'[1]Иные межбюджетные трансферты'!E30</f>
        <v>0</v>
      </c>
      <c r="UU32" s="958">
        <f>'[1]Иные межбюджетные трансферты'!G30</f>
        <v>0</v>
      </c>
      <c r="UV32" s="163">
        <f>SUM(UW32:UX32)</f>
        <v>0</v>
      </c>
      <c r="UW32" s="874"/>
      <c r="UX32" s="958"/>
      <c r="UY32" s="880">
        <f>SUM(UZ32:UZ32)</f>
        <v>0</v>
      </c>
      <c r="UZ32" s="958"/>
      <c r="VA32" s="880">
        <f>SUM(VB32:VB32)</f>
        <v>0</v>
      </c>
      <c r="VB32" s="890"/>
      <c r="VC32" s="510">
        <f>SUM(VD32:VD32)</f>
        <v>0</v>
      </c>
      <c r="VD32" s="874"/>
      <c r="VE32" s="510">
        <f>SUM(VF32:VF32)</f>
        <v>0</v>
      </c>
      <c r="VF32" s="513"/>
      <c r="VG32" s="886">
        <f>SUM(VH32:VH32)</f>
        <v>0</v>
      </c>
      <c r="VH32" s="511">
        <f>'Проверочная  таблица'!VD32-VL32</f>
        <v>0</v>
      </c>
      <c r="VI32" s="886">
        <f>SUM(VJ32:VJ32)</f>
        <v>0</v>
      </c>
      <c r="VJ32" s="511">
        <f>'Проверочная  таблица'!VF32-VN32</f>
        <v>0</v>
      </c>
      <c r="VK32" s="886">
        <f>SUM(VL32:VL32)</f>
        <v>0</v>
      </c>
      <c r="VL32" s="874"/>
      <c r="VM32" s="886">
        <f>SUM(VN32:VN32)</f>
        <v>0</v>
      </c>
      <c r="VN32" s="513"/>
      <c r="VO32" s="517">
        <f>VQ32+'Проверочная  таблица'!VY32+VU32+'Проверочная  таблица'!WC32+VW32+'Проверочная  таблица'!WE32</f>
        <v>-147500000</v>
      </c>
      <c r="VP32" s="517">
        <f>VR32+'Проверочная  таблица'!VZ32+VV32+'Проверочная  таблица'!WD32+VX32+'Проверочная  таблица'!WF32</f>
        <v>-27181000</v>
      </c>
      <c r="VQ32" s="527">
        <v>70000000</v>
      </c>
      <c r="VR32" s="527">
        <v>49819000</v>
      </c>
      <c r="VS32" s="527"/>
      <c r="VT32" s="527"/>
      <c r="VU32" s="521"/>
      <c r="VV32" s="521"/>
      <c r="VW32" s="521"/>
      <c r="VX32" s="521"/>
      <c r="VY32" s="527">
        <v>-217500000</v>
      </c>
      <c r="VZ32" s="527">
        <v>-77000000</v>
      </c>
      <c r="WA32" s="527"/>
      <c r="WB32" s="527"/>
      <c r="WC32" s="521"/>
      <c r="WD32" s="521"/>
      <c r="WE32" s="521"/>
      <c r="WF32" s="521"/>
      <c r="WG32" s="1356">
        <f>'Проверочная  таблица'!VY32+'Проверочная  таблица'!WA32</f>
        <v>-217500000</v>
      </c>
      <c r="WH32" s="1356">
        <f>'Проверочная  таблица'!VZ32+'Проверочная  таблица'!WB32</f>
        <v>-77000000</v>
      </c>
      <c r="WI32" s="1481"/>
    </row>
    <row r="33" spans="1:607" s="329" customFormat="1" ht="25.5" customHeight="1" thickBot="1" x14ac:dyDescent="0.35">
      <c r="A33" s="342" t="s">
        <v>6</v>
      </c>
      <c r="B33" s="524">
        <f>D33+AI33+'Проверочная  таблица'!RS33+'Проверочная  таблица'!SW33</f>
        <v>9137371660.7699986</v>
      </c>
      <c r="C33" s="517">
        <f>E33+'Проверочная  таблица'!RV33+AJ33+'Проверочная  таблица'!SX33</f>
        <v>5765367922.0100002</v>
      </c>
      <c r="D33" s="524">
        <f>F33+P33+N33+V33+AA33+H33</f>
        <v>625734898</v>
      </c>
      <c r="E33" s="517">
        <f>G33+Q33+O33+W33+AB33+I33</f>
        <v>497516075</v>
      </c>
      <c r="F33" s="1062">
        <f>'[1]Дотация  из  ОБ_факт'!I29+'[1]Дотация  из  ОБ_факт'!Q29</f>
        <v>402188100</v>
      </c>
      <c r="G33" s="1367">
        <v>305016075</v>
      </c>
      <c r="H33" s="563"/>
      <c r="I33" s="1359"/>
      <c r="J33" s="565"/>
      <c r="K33" s="565"/>
      <c r="L33" s="564"/>
      <c r="M33" s="745"/>
      <c r="N33" s="563">
        <f>'[1]Дотация  из  ОБ_факт'!U29</f>
        <v>222946798</v>
      </c>
      <c r="O33" s="1366">
        <v>191900000</v>
      </c>
      <c r="P33" s="1292"/>
      <c r="Q33" s="1359"/>
      <c r="R33" s="565"/>
      <c r="S33" s="565">
        <f>Q33-U33</f>
        <v>0</v>
      </c>
      <c r="T33" s="564"/>
      <c r="U33" s="603"/>
      <c r="V33" s="563">
        <f>'[1]Дотация  из  ОБ_факт'!AE29+'[1]Дотация  из  ОБ_факт'!AG29+'[1]Дотация  из  ОБ_факт'!AK29</f>
        <v>600000</v>
      </c>
      <c r="W33" s="163">
        <f>SUM(X33:Z33)</f>
        <v>600000</v>
      </c>
      <c r="X33" s="833"/>
      <c r="Y33" s="566">
        <v>600000</v>
      </c>
      <c r="Z33" s="567"/>
      <c r="AA33" s="563"/>
      <c r="AB33" s="447"/>
      <c r="AC33" s="568"/>
      <c r="AD33" s="569"/>
      <c r="AE33" s="565"/>
      <c r="AF33" s="565"/>
      <c r="AG33" s="564"/>
      <c r="AH33" s="736"/>
      <c r="AI33" s="559">
        <f>'Проверочная  таблица'!KI33+NU33+OA33+'Проверочная  таблица'!RK33+'Проверочная  таблица'!RM33+DE33+DG33+DM33+DO33+'Проверочная  таблица'!MY33+'Проверочная  таблица'!NC33+CG33+CQ33+'Проверочная  таблица'!HE33+'Проверочная  таблица'!HW33+'Проверочная  таблица'!ES33+'Проверочная  таблица'!JY33+DU33+'Проверочная  таблица'!GA33+'Проверочная  таблица'!GG33+'Проверочная  таблица'!LG33+'Проверочная  таблица'!LU33+FU33+'Проверочная  таблица'!KU33+RI33+OS33+PG33+EK33+AK33+AW33+FO33+FE33+GY33+EY33</f>
        <v>3192812015.7199998</v>
      </c>
      <c r="AJ33" s="487">
        <f>'Проверочная  таблица'!KO33+NX33+OD33+'Проверочная  таблица'!RL33+'Проверочная  таблица'!RN33+DF33+DH33+DN33+DP33+'Проверочная  таблица'!NA33+'Проверочная  таблица'!NF33+CL33+CV33+'Проверочная  таблица'!HN33+'Проверочная  таблица'!IF33+'Проверочная  таблица'!EV33+'Проверочная  таблица'!KD33+EC33+'Проверочная  таблица'!GD33+'Проверочная  таблица'!GJ33+'Проверочная  таблица'!LN33+'Проверочная  таблица'!LZ33+FX33+'Проверочная  таблица'!KY33+FR33+RJ33+PP33+OZ33+EM33+AQ33+BC33+FJ33+HB33+FB33</f>
        <v>1451656816.53</v>
      </c>
      <c r="AK33" s="524">
        <f>SUM(AL33:AP33)</f>
        <v>113110338</v>
      </c>
      <c r="AL33" s="332">
        <f>[1]Субсидия_факт!CO31</f>
        <v>0</v>
      </c>
      <c r="AM33" s="498">
        <f>[1]Субсидия_факт!FK31</f>
        <v>113110338</v>
      </c>
      <c r="AN33" s="498">
        <f>[1]Субсидия_факт!FW31</f>
        <v>0</v>
      </c>
      <c r="AO33" s="523">
        <f>[1]Субсидия_факт!KA31</f>
        <v>0</v>
      </c>
      <c r="AP33" s="334">
        <f>[1]Субсидия_факт!LE31</f>
        <v>0</v>
      </c>
      <c r="AQ33" s="487">
        <f>SUM(AR33:AV33)</f>
        <v>103006581</v>
      </c>
      <c r="AR33" s="333"/>
      <c r="AS33" s="333">
        <f>39795690+49679643+13531248</f>
        <v>103006581</v>
      </c>
      <c r="AT33" s="333"/>
      <c r="AU33" s="333"/>
      <c r="AV33" s="333"/>
      <c r="AW33" s="487"/>
      <c r="AX33" s="947"/>
      <c r="AY33" s="1079"/>
      <c r="AZ33" s="476"/>
      <c r="BA33" s="545"/>
      <c r="BB33" s="513"/>
      <c r="BC33" s="487"/>
      <c r="BD33" s="610"/>
      <c r="BE33" s="610"/>
      <c r="BF33" s="333"/>
      <c r="BG33" s="777"/>
      <c r="BH33" s="610"/>
      <c r="BI33" s="657"/>
      <c r="BJ33" s="1290"/>
      <c r="BK33" s="947"/>
      <c r="BL33" s="452"/>
      <c r="BM33" s="938"/>
      <c r="BN33" s="939"/>
      <c r="BO33" s="657"/>
      <c r="BP33" s="756"/>
      <c r="BQ33" s="545"/>
      <c r="BR33" s="938"/>
      <c r="BS33" s="943"/>
      <c r="BT33" s="938"/>
      <c r="BU33" s="657"/>
      <c r="BV33" s="947"/>
      <c r="BW33" s="938"/>
      <c r="BX33" s="476"/>
      <c r="BY33" s="943"/>
      <c r="BZ33" s="938"/>
      <c r="CA33" s="659"/>
      <c r="CB33" s="719"/>
      <c r="CC33" s="610"/>
      <c r="CD33" s="462"/>
      <c r="CE33" s="610"/>
      <c r="CF33" s="610"/>
      <c r="CG33" s="516">
        <f>SUM(CH33:CK33)</f>
        <v>858000715.56999993</v>
      </c>
      <c r="CH33" s="452">
        <f>[1]Субсидия_факт!LM31</f>
        <v>242668000</v>
      </c>
      <c r="CI33" s="332">
        <f>[1]Субсидия_факт!LS31</f>
        <v>12132715.57</v>
      </c>
      <c r="CJ33" s="332">
        <f>[1]Субсидия_факт!ME31</f>
        <v>80000000</v>
      </c>
      <c r="CK33" s="511">
        <f>[1]Субсидия_факт!MK31</f>
        <v>523200000</v>
      </c>
      <c r="CL33" s="517">
        <f>SUM(CM33:CP33)</f>
        <v>204729110.28</v>
      </c>
      <c r="CM33" s="719">
        <v>27924918.539999999</v>
      </c>
      <c r="CN33" s="610">
        <v>0</v>
      </c>
      <c r="CO33" s="610">
        <v>10256662.810000001</v>
      </c>
      <c r="CP33" s="1382">
        <v>166547528.93000001</v>
      </c>
      <c r="CQ33" s="517"/>
      <c r="CR33" s="938"/>
      <c r="CS33" s="938"/>
      <c r="CT33" s="938"/>
      <c r="CU33" s="511"/>
      <c r="CV33" s="517"/>
      <c r="CW33" s="610"/>
      <c r="CX33" s="777"/>
      <c r="CY33" s="610"/>
      <c r="CZ33" s="719"/>
      <c r="DA33" s="512"/>
      <c r="DB33" s="512"/>
      <c r="DC33" s="512"/>
      <c r="DD33" s="512"/>
      <c r="DE33" s="524">
        <f>[1]Субсидия_факт!GC31</f>
        <v>247463542.81</v>
      </c>
      <c r="DF33" s="1389">
        <v>74239062.840000004</v>
      </c>
      <c r="DG33" s="522"/>
      <c r="DH33" s="330"/>
      <c r="DI33" s="757"/>
      <c r="DJ33" s="570"/>
      <c r="DK33" s="757"/>
      <c r="DL33" s="1260"/>
      <c r="DM33" s="517">
        <f>[1]Субсидия_факт!GI31</f>
        <v>13024396.99</v>
      </c>
      <c r="DN33" s="1382">
        <v>3907319.1</v>
      </c>
      <c r="DO33" s="454"/>
      <c r="DP33" s="799"/>
      <c r="DQ33" s="731"/>
      <c r="DR33" s="512"/>
      <c r="DS33" s="653"/>
      <c r="DT33" s="327"/>
      <c r="DU33" s="522">
        <f>SUM(DV33:EB33)</f>
        <v>2719971.8</v>
      </c>
      <c r="DV33" s="523">
        <f>[1]Субсидия_факт!E31</f>
        <v>1720000</v>
      </c>
      <c r="DW33" s="1025">
        <f>[1]Субсидия_факт!G31</f>
        <v>280000</v>
      </c>
      <c r="DX33" s="678">
        <f>[1]Субсидия_факт!I31</f>
        <v>719971.8</v>
      </c>
      <c r="DY33" s="498">
        <f>[1]Субсидия_факт!K31</f>
        <v>0</v>
      </c>
      <c r="DZ33" s="786">
        <f>[1]Субсидия_факт!M31</f>
        <v>0</v>
      </c>
      <c r="EA33" s="498">
        <f>[1]Субсидия_факт!O31</f>
        <v>0</v>
      </c>
      <c r="EB33" s="636">
        <f>[1]Субсидия_факт!Q31</f>
        <v>0</v>
      </c>
      <c r="EC33" s="454">
        <f>SUM(ED33:EJ33)</f>
        <v>1398000</v>
      </c>
      <c r="ED33" s="752">
        <v>1398000</v>
      </c>
      <c r="EE33" s="719"/>
      <c r="EF33" s="673"/>
      <c r="EG33" s="719"/>
      <c r="EH33" s="673"/>
      <c r="EI33" s="777"/>
      <c r="EJ33" s="719"/>
      <c r="EK33" s="454"/>
      <c r="EL33" s="719"/>
      <c r="EM33" s="454"/>
      <c r="EN33" s="719"/>
      <c r="EO33" s="659"/>
      <c r="EP33" s="659"/>
      <c r="EQ33" s="659"/>
      <c r="ER33" s="659"/>
      <c r="ES33" s="524">
        <f>SUM(ET33:EU33)</f>
        <v>0</v>
      </c>
      <c r="ET33" s="511">
        <f>[1]Субсидия_факт!AU31</f>
        <v>0</v>
      </c>
      <c r="EU33" s="890">
        <f>[1]Субсидия_факт!AW31</f>
        <v>0</v>
      </c>
      <c r="EV33" s="454">
        <f>SUM(EW33:EX33)</f>
        <v>0</v>
      </c>
      <c r="EW33" s="777"/>
      <c r="EX33" s="673"/>
      <c r="EY33" s="524">
        <f>SUM(EZ33:FA33)</f>
        <v>0</v>
      </c>
      <c r="EZ33" s="511">
        <f>[1]Субсидия_факт!FY31</f>
        <v>0</v>
      </c>
      <c r="FA33" s="890">
        <f>[1]Субсидия_факт!GA31</f>
        <v>0</v>
      </c>
      <c r="FB33" s="454">
        <f>SUM(FC33:FD33)</f>
        <v>0</v>
      </c>
      <c r="FC33" s="777"/>
      <c r="FD33" s="673"/>
      <c r="FE33" s="517">
        <f t="shared" si="277"/>
        <v>42105263.159999996</v>
      </c>
      <c r="FF33" s="452">
        <f>[1]Субсидия_факт!W31</f>
        <v>0</v>
      </c>
      <c r="FG33" s="686">
        <f>[1]Субсидия_факт!Y31</f>
        <v>0</v>
      </c>
      <c r="FH33" s="452">
        <f>[1]Субсидия_факт!AA31</f>
        <v>2105263.16</v>
      </c>
      <c r="FI33" s="686">
        <f>[1]Субсидия_факт!AC31</f>
        <v>40000000</v>
      </c>
      <c r="FJ33" s="517">
        <f t="shared" si="278"/>
        <v>14736842.109999999</v>
      </c>
      <c r="FK33" s="507"/>
      <c r="FL33" s="673"/>
      <c r="FM33" s="507">
        <v>736842.1099999994</v>
      </c>
      <c r="FN33" s="673">
        <v>14000000</v>
      </c>
      <c r="FO33" s="524">
        <f>SUM(FP33:FQ33)</f>
        <v>264892710</v>
      </c>
      <c r="FP33" s="511">
        <f>[1]Субсидия_факт!AY31</f>
        <v>13244635.99</v>
      </c>
      <c r="FQ33" s="890">
        <f>[1]Субсидия_факт!BA31</f>
        <v>251648074.00999999</v>
      </c>
      <c r="FR33" s="454">
        <f>SUM(FS33:FT33)</f>
        <v>2221747.25</v>
      </c>
      <c r="FS33" s="777">
        <v>111087.37</v>
      </c>
      <c r="FT33" s="673">
        <f>2221747.25-FS33</f>
        <v>2110659.88</v>
      </c>
      <c r="FU33" s="524">
        <f t="shared" si="279"/>
        <v>0</v>
      </c>
      <c r="FV33" s="498">
        <f>[1]Субсидия_факт!EE31</f>
        <v>0</v>
      </c>
      <c r="FW33" s="686">
        <f>[1]Субсидия_факт!EG31</f>
        <v>0</v>
      </c>
      <c r="FX33" s="454">
        <f t="shared" si="280"/>
        <v>0</v>
      </c>
      <c r="FY33" s="610"/>
      <c r="FZ33" s="673"/>
      <c r="GA33" s="524">
        <f>SUM(GB33:GC33)</f>
        <v>0</v>
      </c>
      <c r="GB33" s="511">
        <f>[1]Субсидия_факт!DS31</f>
        <v>0</v>
      </c>
      <c r="GC33" s="890">
        <f>[1]Субсидия_факт!DY31</f>
        <v>0</v>
      </c>
      <c r="GD33" s="454">
        <f>SUM(GE33:GF33)</f>
        <v>0</v>
      </c>
      <c r="GE33" s="719"/>
      <c r="GF33" s="673"/>
      <c r="GG33" s="454"/>
      <c r="GH33" s="511"/>
      <c r="GI33" s="751"/>
      <c r="GJ33" s="454"/>
      <c r="GK33" s="610"/>
      <c r="GL33" s="706"/>
      <c r="GM33" s="659"/>
      <c r="GN33" s="749"/>
      <c r="GO33" s="671"/>
      <c r="GP33" s="653"/>
      <c r="GQ33" s="756"/>
      <c r="GR33" s="768"/>
      <c r="GS33" s="659"/>
      <c r="GT33" s="511"/>
      <c r="GU33" s="890"/>
      <c r="GV33" s="659"/>
      <c r="GW33" s="511"/>
      <c r="GX33" s="751"/>
      <c r="GY33" s="454">
        <f t="shared" si="281"/>
        <v>0</v>
      </c>
      <c r="GZ33" s="756">
        <f>[1]Субсидия_факт!AE31</f>
        <v>0</v>
      </c>
      <c r="HA33" s="671">
        <f>[1]Субсидия_факт!AG31</f>
        <v>0</v>
      </c>
      <c r="HB33" s="454">
        <f t="shared" si="282"/>
        <v>0</v>
      </c>
      <c r="HC33" s="756"/>
      <c r="HD33" s="671"/>
      <c r="HE33" s="517">
        <f>SUM(HF33:HM33)</f>
        <v>1211050.75</v>
      </c>
      <c r="HF33" s="756">
        <f>[1]Субсидия_факт!BW31</f>
        <v>0</v>
      </c>
      <c r="HG33" s="671">
        <f>[1]Субсидия_факт!CC31</f>
        <v>0</v>
      </c>
      <c r="HH33" s="511">
        <f>[1]Субсидия_факт!CU31</f>
        <v>1086956.54</v>
      </c>
      <c r="HI33" s="890">
        <f>[1]Субсидия_факт!DA31</f>
        <v>124094.21</v>
      </c>
      <c r="HJ33" s="511">
        <f>[1]Субсидия_факт!DG31</f>
        <v>0</v>
      </c>
      <c r="HK33" s="890">
        <f>[1]Субсидия_факт!DM31</f>
        <v>0</v>
      </c>
      <c r="HL33" s="511">
        <f>[1]Субсидия_факт!EI31</f>
        <v>0</v>
      </c>
      <c r="HM33" s="751">
        <f>[1]Субсидия_факт!EO31</f>
        <v>0</v>
      </c>
      <c r="HN33" s="747">
        <f>SUM(HO33:HV33)</f>
        <v>1211050.75</v>
      </c>
      <c r="HO33" s="610"/>
      <c r="HP33" s="673"/>
      <c r="HQ33" s="607">
        <f t="shared" ref="HQ33" si="293">HH33</f>
        <v>1086956.54</v>
      </c>
      <c r="HR33" s="678">
        <f t="shared" ref="HR33" si="294">HI33</f>
        <v>124094.21</v>
      </c>
      <c r="HS33" s="610"/>
      <c r="HT33" s="884"/>
      <c r="HU33" s="610"/>
      <c r="HV33" s="673"/>
      <c r="HW33" s="454"/>
      <c r="HX33" s="610"/>
      <c r="HY33" s="673"/>
      <c r="HZ33" s="511"/>
      <c r="IA33" s="751"/>
      <c r="IB33" s="511"/>
      <c r="IC33" s="890"/>
      <c r="ID33" s="511"/>
      <c r="IE33" s="751"/>
      <c r="IF33" s="747"/>
      <c r="IG33" s="610"/>
      <c r="IH33" s="673"/>
      <c r="II33" s="777"/>
      <c r="IJ33" s="673"/>
      <c r="IK33" s="777"/>
      <c r="IL33" s="673"/>
      <c r="IM33" s="610"/>
      <c r="IN33" s="673"/>
      <c r="IO33" s="659"/>
      <c r="IP33" s="610"/>
      <c r="IQ33" s="673"/>
      <c r="IR33" s="756"/>
      <c r="IS33" s="671"/>
      <c r="IT33" s="749"/>
      <c r="IU33" s="671"/>
      <c r="IV33" s="756"/>
      <c r="IW33" s="671"/>
      <c r="IX33" s="659"/>
      <c r="IY33" s="610"/>
      <c r="IZ33" s="673"/>
      <c r="JA33" s="756"/>
      <c r="JB33" s="768"/>
      <c r="JC33" s="756"/>
      <c r="JD33" s="768"/>
      <c r="JE33" s="756"/>
      <c r="JF33" s="768"/>
      <c r="JG33" s="659"/>
      <c r="JH33" s="610"/>
      <c r="JI33" s="673"/>
      <c r="JJ33" s="511"/>
      <c r="JK33" s="751"/>
      <c r="JL33" s="511"/>
      <c r="JM33" s="890"/>
      <c r="JN33" s="511"/>
      <c r="JO33" s="751"/>
      <c r="JP33" s="750"/>
      <c r="JQ33" s="610"/>
      <c r="JR33" s="673"/>
      <c r="JS33" s="513"/>
      <c r="JT33" s="788"/>
      <c r="JU33" s="513"/>
      <c r="JV33" s="885"/>
      <c r="JW33" s="610"/>
      <c r="JX33" s="673"/>
      <c r="JY33" s="517">
        <f t="shared" si="284"/>
        <v>233947767.69999999</v>
      </c>
      <c r="JZ33" s="511">
        <f>[1]Субсидия_факт!BC31</f>
        <v>49214600</v>
      </c>
      <c r="KA33" s="890">
        <f>[1]Субсидия_факт!BE31</f>
        <v>126551900</v>
      </c>
      <c r="KB33" s="511">
        <f>[1]Субсидия_факт!BG31</f>
        <v>16290767.699999999</v>
      </c>
      <c r="KC33" s="890">
        <f>[1]Субсидия_факт!BI31</f>
        <v>41890500</v>
      </c>
      <c r="KD33" s="454">
        <f t="shared" si="285"/>
        <v>78017609.939999998</v>
      </c>
      <c r="KE33" s="610">
        <v>19181860.600000001</v>
      </c>
      <c r="KF33" s="673">
        <f>68506649.94-KE33</f>
        <v>49324789.339999996</v>
      </c>
      <c r="KG33" s="610">
        <v>2663070.88</v>
      </c>
      <c r="KH33" s="673">
        <v>6847889.1200000001</v>
      </c>
      <c r="KI33" s="524">
        <f>SUM(KJ33:KN33)</f>
        <v>212745041.66999999</v>
      </c>
      <c r="KJ33" s="511">
        <f>[1]Субсидия_факт!HO31</f>
        <v>1685597.21</v>
      </c>
      <c r="KK33" s="498">
        <f>[1]Субсидия_факт!HQ31</f>
        <v>23434483.34</v>
      </c>
      <c r="KL33" s="686">
        <f>[1]Субсидия_факт!HS31</f>
        <v>60260100</v>
      </c>
      <c r="KM33" s="498">
        <f>[1]Субсидия_факт!IC31</f>
        <v>35662161.119999997</v>
      </c>
      <c r="KN33" s="686">
        <f>[1]Субсидия_факт!IE31</f>
        <v>91702700</v>
      </c>
      <c r="KO33" s="487">
        <f t="shared" si="286"/>
        <v>40479330.539999999</v>
      </c>
      <c r="KP33" s="756">
        <f t="shared" si="287"/>
        <v>1685597.21</v>
      </c>
      <c r="KQ33" s="333">
        <v>10862245.34</v>
      </c>
      <c r="KR33" s="682">
        <v>27931487.989999998</v>
      </c>
      <c r="KS33" s="462"/>
      <c r="KT33" s="682"/>
      <c r="KU33" s="454"/>
      <c r="KV33" s="513">
        <f>[1]Субсидия_факт!HY31</f>
        <v>0</v>
      </c>
      <c r="KW33" s="513">
        <f>[1]Субсидия_факт!HU31</f>
        <v>0</v>
      </c>
      <c r="KX33" s="751">
        <f>[1]Субсидия_факт!HW31</f>
        <v>0</v>
      </c>
      <c r="KY33" s="454"/>
      <c r="KZ33" s="610"/>
      <c r="LA33" s="610"/>
      <c r="LB33" s="673"/>
      <c r="LC33" s="886"/>
      <c r="LD33" s="886"/>
      <c r="LE33" s="657"/>
      <c r="LF33" s="583"/>
      <c r="LG33" s="648">
        <f t="shared" si="288"/>
        <v>250000000</v>
      </c>
      <c r="LH33" s="511">
        <f>[1]Субсидия_факт!OG31</f>
        <v>2500000</v>
      </c>
      <c r="LI33" s="890">
        <f>[1]Субсидия_факт!OM31</f>
        <v>47500000</v>
      </c>
      <c r="LJ33" s="511">
        <f>[1]Субсидия_факт!OS31</f>
        <v>10000000</v>
      </c>
      <c r="LK33" s="751">
        <f>[1]Субсидия_факт!OY31</f>
        <v>190000000</v>
      </c>
      <c r="LL33" s="756">
        <f>[1]Субсидия_факт!PE31</f>
        <v>0</v>
      </c>
      <c r="LM33" s="768">
        <f>[1]Субсидия_факт!PI31</f>
        <v>0</v>
      </c>
      <c r="LN33" s="753">
        <f>SUM(LO33:LT33)</f>
        <v>67214750.049999997</v>
      </c>
      <c r="LO33" s="777">
        <v>430086.62</v>
      </c>
      <c r="LP33" s="673">
        <f>8601732.45-LO33</f>
        <v>8171645.8299999991</v>
      </c>
      <c r="LQ33" s="610">
        <v>2930650.88</v>
      </c>
      <c r="LR33" s="776">
        <f>58613017.6-LQ33</f>
        <v>55682366.719999999</v>
      </c>
      <c r="LS33" s="610"/>
      <c r="LT33" s="776"/>
      <c r="LU33" s="753"/>
      <c r="LV33" s="511"/>
      <c r="LW33" s="890"/>
      <c r="LX33" s="513"/>
      <c r="LY33" s="751"/>
      <c r="LZ33" s="754"/>
      <c r="MA33" s="610"/>
      <c r="MB33" s="776"/>
      <c r="MC33" s="610"/>
      <c r="MD33" s="673"/>
      <c r="ME33" s="652"/>
      <c r="MF33" s="642"/>
      <c r="MG33" s="678"/>
      <c r="MH33" s="765"/>
      <c r="MI33" s="607"/>
      <c r="MJ33" s="755"/>
      <c r="MK33" s="749"/>
      <c r="ML33" s="671"/>
      <c r="MM33" s="768"/>
      <c r="MN33" s="756"/>
      <c r="MO33" s="779"/>
      <c r="MP33" s="511"/>
      <c r="MQ33" s="890"/>
      <c r="MR33" s="890"/>
      <c r="MS33" s="511"/>
      <c r="MT33" s="755"/>
      <c r="MU33" s="777"/>
      <c r="MV33" s="673"/>
      <c r="MW33" s="788"/>
      <c r="MX33" s="513"/>
      <c r="MY33" s="517">
        <f>SUM('Проверочная  таблица'!MZ33:MZ33)</f>
        <v>0</v>
      </c>
      <c r="MZ33" s="333"/>
      <c r="NA33" s="517">
        <f>SUM('Проверочная  таблица'!NB33:NB33)</f>
        <v>0</v>
      </c>
      <c r="NB33" s="333"/>
      <c r="NC33" s="487"/>
      <c r="ND33" s="947"/>
      <c r="NE33" s="751"/>
      <c r="NF33" s="487"/>
      <c r="NG33" s="719"/>
      <c r="NH33" s="673"/>
      <c r="NI33" s="657"/>
      <c r="NJ33" s="561"/>
      <c r="NK33" s="768"/>
      <c r="NL33" s="657"/>
      <c r="NM33" s="561"/>
      <c r="NN33" s="768"/>
      <c r="NO33" s="657"/>
      <c r="NP33" s="938"/>
      <c r="NQ33" s="788"/>
      <c r="NR33" s="657"/>
      <c r="NS33" s="561"/>
      <c r="NT33" s="810"/>
      <c r="NU33" s="517">
        <f t="shared" si="289"/>
        <v>0</v>
      </c>
      <c r="NV33" s="332">
        <f>[1]Субсидия_факт!FA31</f>
        <v>0</v>
      </c>
      <c r="NW33" s="786">
        <f>[1]Субсидия_факт!FC31</f>
        <v>0</v>
      </c>
      <c r="NX33" s="517">
        <f t="shared" si="290"/>
        <v>0</v>
      </c>
      <c r="NY33" s="462"/>
      <c r="NZ33" s="682"/>
      <c r="OA33" s="454"/>
      <c r="OD33" s="454"/>
      <c r="OG33" s="512"/>
      <c r="OJ33" s="512"/>
      <c r="OM33" s="512"/>
      <c r="OP33" s="512"/>
      <c r="OS33" s="524">
        <f>SUM(OT33:OY33)</f>
        <v>0</v>
      </c>
      <c r="OT33" s="498">
        <f>[1]Субсидия_факт!JO31</f>
        <v>0</v>
      </c>
      <c r="OU33" s="786">
        <f>[1]Субсидия_факт!JQ31</f>
        <v>0</v>
      </c>
      <c r="OV33" s="332">
        <f>[1]Субсидия_факт!KS31</f>
        <v>0</v>
      </c>
      <c r="OW33" s="687">
        <f>[1]Субсидия_факт!KY31</f>
        <v>0</v>
      </c>
      <c r="OX33" s="499">
        <f>[1]Субсидия_факт!KG31</f>
        <v>0</v>
      </c>
      <c r="OY33" s="786">
        <f>[1]Субсидия_факт!KM31</f>
        <v>0</v>
      </c>
      <c r="OZ33" s="517">
        <f>SUM(PA33:PF33)</f>
        <v>0</v>
      </c>
      <c r="PA33" s="462"/>
      <c r="PB33" s="682"/>
      <c r="PC33" s="333"/>
      <c r="PD33" s="682"/>
      <c r="PE33" s="462"/>
      <c r="PF33" s="682"/>
      <c r="PG33" s="487"/>
      <c r="PH33" s="513"/>
      <c r="PI33" s="890"/>
      <c r="PJ33" s="476"/>
      <c r="PK33" s="678"/>
      <c r="PL33" s="513"/>
      <c r="PM33" s="792"/>
      <c r="PN33" s="513"/>
      <c r="PO33" s="751"/>
      <c r="PP33" s="487"/>
      <c r="PQ33" s="610"/>
      <c r="PR33" s="706"/>
      <c r="PS33" s="462"/>
      <c r="PT33" s="682"/>
      <c r="PU33" s="610"/>
      <c r="PV33" s="776"/>
      <c r="PW33" s="610"/>
      <c r="PX33" s="673"/>
      <c r="PY33" s="657"/>
      <c r="PZ33" s="938"/>
      <c r="QA33" s="751"/>
      <c r="QB33" s="452"/>
      <c r="QC33" s="686"/>
      <c r="QD33" s="947"/>
      <c r="QE33" s="751"/>
      <c r="QF33" s="938"/>
      <c r="QG33" s="751"/>
      <c r="QH33" s="657"/>
      <c r="QI33" s="938"/>
      <c r="QJ33" s="792"/>
      <c r="QK33" s="462"/>
      <c r="QL33" s="682"/>
      <c r="QM33" s="938"/>
      <c r="QN33" s="788"/>
      <c r="QO33" s="938"/>
      <c r="QP33" s="751"/>
      <c r="QQ33" s="659"/>
      <c r="QR33" s="943"/>
      <c r="QS33" s="751"/>
      <c r="QT33" s="1025"/>
      <c r="QU33" s="678"/>
      <c r="QV33" s="938"/>
      <c r="QW33" s="788"/>
      <c r="QX33" s="938"/>
      <c r="QY33" s="751"/>
      <c r="QZ33" s="659"/>
      <c r="RA33" s="777"/>
      <c r="RB33" s="671"/>
      <c r="RC33" s="462"/>
      <c r="RD33" s="682"/>
      <c r="RE33" s="777"/>
      <c r="RF33" s="673"/>
      <c r="RG33" s="610"/>
      <c r="RH33" s="768"/>
      <c r="RI33" s="487">
        <f>[1]Субсидия_факт!PW31</f>
        <v>0</v>
      </c>
      <c r="RJ33" s="527"/>
      <c r="RK33" s="524">
        <f>'Прочая  субсидия_МР  и  ГО'!B29</f>
        <v>953591217.2700001</v>
      </c>
      <c r="RL33" s="517">
        <f>'Прочая  субсидия_МР  и  ГО'!C29</f>
        <v>860495412.67000008</v>
      </c>
      <c r="RM33" s="527"/>
      <c r="RN33" s="527"/>
      <c r="RO33" s="585"/>
      <c r="RP33" s="586"/>
      <c r="RQ33" s="585"/>
      <c r="RR33" s="586"/>
      <c r="RS33" s="454">
        <f>SUM(RT33:RU33)</f>
        <v>4215972256</v>
      </c>
      <c r="RT33" s="332">
        <f>'Проверочная  таблица'!SR33+'Проверочная  таблица'!RY33+'Проверочная  таблица'!SA33+'Проверочная  таблица'!SC33</f>
        <v>4170051018</v>
      </c>
      <c r="RU33" s="332">
        <f>'Проверочная  таблица'!SS33+'Проверочная  таблица'!SE33+'Проверочная  таблица'!SK33+'Проверочная  таблица'!SG33+'Проверочная  таблица'!SO33+'Проверочная  таблица'!SI33+SM33</f>
        <v>45921238</v>
      </c>
      <c r="RV33" s="517">
        <f>SUM(RW33:RX33)</f>
        <v>3129775230.0900002</v>
      </c>
      <c r="RW33" s="332">
        <f>'Проверочная  таблица'!SU33+'Проверочная  таблица'!RZ33+'Проверочная  таблица'!SB33+'Проверочная  таблица'!SD33</f>
        <v>3103936750.27</v>
      </c>
      <c r="RX33" s="332">
        <f>'Проверочная  таблица'!SV33+'Проверочная  таблица'!SF33+'Проверочная  таблица'!SL33+'Проверочная  таблица'!SH33+'Проверочная  таблица'!SP33+'Проверочная  таблица'!SJ33+SN33</f>
        <v>25838479.82</v>
      </c>
      <c r="RY33" s="454">
        <f>'Субвенция  на  полномочия'!B27</f>
        <v>3938550618</v>
      </c>
      <c r="RZ33" s="559">
        <f>'Субвенция  на  полномочия'!C27</f>
        <v>2919406090.27</v>
      </c>
      <c r="SA33" s="732">
        <f>[1]Субвенция_факт!P30*1000</f>
        <v>99040400</v>
      </c>
      <c r="SB33" s="1389">
        <v>68800000</v>
      </c>
      <c r="SC33" s="732">
        <f>[1]Субвенция_факт!K30*1000</f>
        <v>122150000</v>
      </c>
      <c r="SD33" s="1389">
        <v>105420660</v>
      </c>
      <c r="SE33" s="732">
        <f>[1]Субвенция_факт!AD30*1000</f>
        <v>0</v>
      </c>
      <c r="SF33" s="734"/>
      <c r="SG33" s="732">
        <f>[1]Субвенция_факт!AE30*1000</f>
        <v>70000</v>
      </c>
      <c r="SH33" s="735">
        <v>68587.5</v>
      </c>
      <c r="SI33" s="732">
        <f>[1]Субвенция_факт!E30*1000</f>
        <v>9916908.0000000019</v>
      </c>
      <c r="SJ33" s="735">
        <f>2383632+1215523.4</f>
        <v>3599155.4</v>
      </c>
      <c r="SK33" s="732">
        <f>[1]Субвенция_факт!F30*1000</f>
        <v>6119620</v>
      </c>
      <c r="SL33" s="866">
        <f>1191816+595908</f>
        <v>1787724</v>
      </c>
      <c r="SM33" s="733">
        <f>[1]Субвенция_факт!G30*1000</f>
        <v>10401710</v>
      </c>
      <c r="SN33" s="867">
        <f>1787724+595908+1191816+600000+3827304</f>
        <v>8002752</v>
      </c>
      <c r="SO33" s="732">
        <f>[1]Субвенция_факт!H30*1000</f>
        <v>0</v>
      </c>
      <c r="SP33" s="735"/>
      <c r="SQ33" s="487">
        <f>SR33+SS33</f>
        <v>29723000</v>
      </c>
      <c r="SR33" s="865">
        <f>[1]Субвенция_факт!AC30*1000</f>
        <v>10310000</v>
      </c>
      <c r="SS33" s="1040">
        <f>[1]Субвенция_факт!AB30*1000</f>
        <v>19413000</v>
      </c>
      <c r="ST33" s="454">
        <f>SUM(SU33:SV33)</f>
        <v>22690260.920000002</v>
      </c>
      <c r="SU33" s="1505">
        <v>10310000</v>
      </c>
      <c r="SV33" s="1506">
        <v>12380260.92</v>
      </c>
      <c r="SW33" s="271">
        <f>'Проверочная  таблица'!VC33+'Проверочная  таблица'!UY33+'Проверочная  таблица'!TQ33+'Проверочная  таблица'!TU33+SY33+'Проверочная  таблица'!US33+UC33+UI33</f>
        <v>1102852491.05</v>
      </c>
      <c r="SX33" s="163">
        <f>'Проверочная  таблица'!VE33+'Проверочная  таблица'!VA33+'Проверочная  таблица'!TS33+'Проверочная  таблица'!TW33+TH33+'Проверочная  таблица'!UV33+UF33+UL33</f>
        <v>686419800.38999999</v>
      </c>
      <c r="SY33" s="991">
        <f>SUM(SZ33:TG33)</f>
        <v>592852491.04999995</v>
      </c>
      <c r="SZ33" s="879">
        <f>'[1]Иные межбюджетные трансферты'!O31</f>
        <v>78807712</v>
      </c>
      <c r="TA33" s="1111">
        <f>'[1]Иные межбюджетные трансферты'!Q31</f>
        <v>202648400</v>
      </c>
      <c r="TB33" s="879">
        <f>'[1]Иные межбюджетные трансферты'!I31</f>
        <v>35620396.289999999</v>
      </c>
      <c r="TC33" s="958">
        <f>'[1]Иные межбюджетные трансферты'!K31</f>
        <v>91595400</v>
      </c>
      <c r="TD33" s="879">
        <f>'[1]Иные межбюджетные трансферты'!S31</f>
        <v>12370582.76</v>
      </c>
      <c r="TE33" s="958">
        <f>'[1]Иные межбюджетные трансферты'!U31</f>
        <v>31810000</v>
      </c>
      <c r="TF33" s="1233">
        <f>'[1]Иные межбюджетные трансферты'!M31</f>
        <v>12370582.76</v>
      </c>
      <c r="TG33" s="874">
        <f>'[1]Иные межбюджетные трансферты'!W31</f>
        <v>127629417.23999999</v>
      </c>
      <c r="TH33" s="991">
        <f>SUM(TI33:TP33)</f>
        <v>315389297.36000001</v>
      </c>
      <c r="TI33" s="984">
        <v>54009415.780000001</v>
      </c>
      <c r="TJ33" s="982">
        <v>138881353.33000001</v>
      </c>
      <c r="TK33" s="1269">
        <v>26684624.640000001</v>
      </c>
      <c r="TL33" s="1372">
        <v>68617677.549999997</v>
      </c>
      <c r="TM33" s="1269">
        <v>3208889.01</v>
      </c>
      <c r="TN33" s="1372">
        <v>8251410.75</v>
      </c>
      <c r="TO33" s="984"/>
      <c r="TP33" s="984">
        <v>15735926.300000001</v>
      </c>
      <c r="TQ33" s="973">
        <f t="shared" si="291"/>
        <v>0</v>
      </c>
      <c r="TR33" s="958">
        <f>'[1]Иные межбюджетные трансферты'!Y31</f>
        <v>0</v>
      </c>
      <c r="TS33" s="973">
        <f t="shared" si="291"/>
        <v>0</v>
      </c>
      <c r="TT33" s="958"/>
      <c r="TU33" s="973">
        <f t="shared" ref="TU33" si="295">TV33</f>
        <v>0</v>
      </c>
      <c r="TV33" s="958"/>
      <c r="TW33" s="973">
        <f>TX33</f>
        <v>0</v>
      </c>
      <c r="TX33" s="958"/>
      <c r="TY33" s="970"/>
      <c r="TZ33" s="970"/>
      <c r="UA33" s="976"/>
      <c r="UB33" s="970"/>
      <c r="UC33" s="973">
        <f>SUM(UD33:UE33)</f>
        <v>510000000</v>
      </c>
      <c r="UD33" s="1144">
        <f>'[1]Иные межбюджетные трансферты'!AE31</f>
        <v>0</v>
      </c>
      <c r="UE33" s="1145">
        <f>'[1]Иные межбюджетные трансферты'!AK31</f>
        <v>510000000</v>
      </c>
      <c r="UF33" s="973">
        <f>SUM(UG33:UH33)</f>
        <v>371030503.02999997</v>
      </c>
      <c r="UG33" s="958"/>
      <c r="UH33" s="1372">
        <v>371030503.02999997</v>
      </c>
      <c r="UI33" s="973">
        <f>SUM(UJ33:UK33)</f>
        <v>0</v>
      </c>
      <c r="UJ33" s="1145"/>
      <c r="UK33" s="1145"/>
      <c r="UL33" s="973">
        <f>SUM(UM33:UN33)</f>
        <v>0</v>
      </c>
      <c r="UM33" s="958"/>
      <c r="UN33" s="958"/>
      <c r="UO33" s="970"/>
      <c r="UP33" s="970"/>
      <c r="UQ33" s="976"/>
      <c r="UR33" s="970"/>
      <c r="US33" s="733">
        <f>SUM(UT33:UU33)</f>
        <v>0</v>
      </c>
      <c r="UT33" s="1040">
        <f>'[1]Иные межбюджетные трансферты'!E31</f>
        <v>0</v>
      </c>
      <c r="UU33" s="1126">
        <f>'[1]Иные межбюджетные трансферты'!G31</f>
        <v>0</v>
      </c>
      <c r="UV33" s="733">
        <f>SUM(UW33:UX33)</f>
        <v>0</v>
      </c>
      <c r="UW33" s="1040"/>
      <c r="UX33" s="1126"/>
      <c r="UY33" s="880">
        <f>SUM(UZ33:UZ33)</f>
        <v>0</v>
      </c>
      <c r="UZ33" s="958"/>
      <c r="VA33" s="880">
        <f>SUM(VB33:VB33)</f>
        <v>0</v>
      </c>
      <c r="VB33" s="890"/>
      <c r="VC33" s="510">
        <f>SUM(VD33:VD33)</f>
        <v>0</v>
      </c>
      <c r="VD33" s="874"/>
      <c r="VE33" s="510">
        <f>SUM(VF33:VF33)</f>
        <v>0</v>
      </c>
      <c r="VF33" s="513"/>
      <c r="VG33" s="886">
        <f>SUM(VH33:VH33)</f>
        <v>0</v>
      </c>
      <c r="VH33" s="511">
        <f>'Проверочная  таблица'!VD33-VL33</f>
        <v>0</v>
      </c>
      <c r="VI33" s="886">
        <f>SUM(VJ33:VJ33)</f>
        <v>0</v>
      </c>
      <c r="VJ33" s="511">
        <f>'Проверочная  таблица'!VF33-VN33</f>
        <v>0</v>
      </c>
      <c r="VK33" s="886">
        <f>SUM(VL33:VL33)</f>
        <v>0</v>
      </c>
      <c r="VL33" s="876"/>
      <c r="VM33" s="886">
        <f>SUM(VN33:VN33)</f>
        <v>0</v>
      </c>
      <c r="VN33" s="513"/>
      <c r="VO33" s="517">
        <f>VQ33+'Проверочная  таблица'!VY33+VU33+'Проверочная  таблица'!WC33+VW33+'Проверочная  таблица'!WE33</f>
        <v>-13500000</v>
      </c>
      <c r="VP33" s="517">
        <f>VR33+'Проверочная  таблица'!VZ33+VV33+'Проверочная  таблица'!WD33+VX33+'Проверочная  таблица'!WF33</f>
        <v>-13500000</v>
      </c>
      <c r="VQ33" s="527"/>
      <c r="VR33" s="527"/>
      <c r="VS33" s="527"/>
      <c r="VT33" s="527"/>
      <c r="VU33" s="521"/>
      <c r="VV33" s="521"/>
      <c r="VW33" s="521"/>
      <c r="VX33" s="521"/>
      <c r="VY33" s="527">
        <v>-13500000</v>
      </c>
      <c r="VZ33" s="527">
        <v>-13500000</v>
      </c>
      <c r="WA33" s="527"/>
      <c r="WB33" s="527"/>
      <c r="WC33" s="521"/>
      <c r="WD33" s="521"/>
      <c r="WE33" s="521"/>
      <c r="WF33" s="521"/>
      <c r="WG33" s="1356">
        <f>'Проверочная  таблица'!VY33+'Проверочная  таблица'!WA33</f>
        <v>-13500000</v>
      </c>
      <c r="WH33" s="1356">
        <f>'Проверочная  таблица'!VZ33+'Проверочная  таблица'!WB33</f>
        <v>-13500000</v>
      </c>
      <c r="WI33" s="1481"/>
    </row>
    <row r="34" spans="1:607" s="329" customFormat="1" ht="25.5" customHeight="1" thickBot="1" x14ac:dyDescent="0.35">
      <c r="A34" s="341" t="s">
        <v>7</v>
      </c>
      <c r="B34" s="336">
        <f t="shared" ref="B34:AG34" si="296">SUM(B32:B33)</f>
        <v>11015704873.799999</v>
      </c>
      <c r="C34" s="336">
        <f t="shared" si="296"/>
        <v>7025005688.5600004</v>
      </c>
      <c r="D34" s="546">
        <f t="shared" si="296"/>
        <v>909746783</v>
      </c>
      <c r="E34" s="432">
        <f t="shared" si="296"/>
        <v>727871841</v>
      </c>
      <c r="F34" s="546">
        <f t="shared" si="296"/>
        <v>613969700</v>
      </c>
      <c r="G34" s="432">
        <f t="shared" si="296"/>
        <v>480227270</v>
      </c>
      <c r="H34" s="336">
        <f t="shared" si="296"/>
        <v>0</v>
      </c>
      <c r="I34" s="432">
        <f t="shared" si="296"/>
        <v>0</v>
      </c>
      <c r="J34" s="587">
        <f t="shared" si="296"/>
        <v>0</v>
      </c>
      <c r="K34" s="587">
        <f t="shared" si="296"/>
        <v>0</v>
      </c>
      <c r="L34" s="587">
        <f t="shared" si="296"/>
        <v>0</v>
      </c>
      <c r="M34" s="935">
        <f t="shared" si="296"/>
        <v>0</v>
      </c>
      <c r="N34" s="432">
        <f t="shared" si="296"/>
        <v>293977083</v>
      </c>
      <c r="O34" s="432">
        <f t="shared" si="296"/>
        <v>247044571</v>
      </c>
      <c r="P34" s="595">
        <f t="shared" si="296"/>
        <v>0</v>
      </c>
      <c r="Q34" s="432">
        <f t="shared" si="296"/>
        <v>0</v>
      </c>
      <c r="R34" s="589">
        <f t="shared" si="296"/>
        <v>0</v>
      </c>
      <c r="S34" s="587">
        <f t="shared" si="296"/>
        <v>0</v>
      </c>
      <c r="T34" s="589">
        <f t="shared" si="296"/>
        <v>0</v>
      </c>
      <c r="U34" s="759">
        <f t="shared" si="296"/>
        <v>0</v>
      </c>
      <c r="V34" s="432">
        <f t="shared" si="296"/>
        <v>1800000</v>
      </c>
      <c r="W34" s="336">
        <f t="shared" si="296"/>
        <v>600000</v>
      </c>
      <c r="X34" s="614">
        <f t="shared" si="296"/>
        <v>0</v>
      </c>
      <c r="Y34" s="458">
        <f t="shared" si="296"/>
        <v>600000</v>
      </c>
      <c r="Z34" s="458">
        <f t="shared" si="296"/>
        <v>0</v>
      </c>
      <c r="AA34" s="336">
        <f t="shared" si="296"/>
        <v>0</v>
      </c>
      <c r="AB34" s="336">
        <f t="shared" si="296"/>
        <v>0</v>
      </c>
      <c r="AC34" s="590">
        <f t="shared" si="296"/>
        <v>0</v>
      </c>
      <c r="AD34" s="458">
        <f t="shared" si="296"/>
        <v>0</v>
      </c>
      <c r="AE34" s="589">
        <f t="shared" si="296"/>
        <v>0</v>
      </c>
      <c r="AF34" s="587">
        <f t="shared" si="296"/>
        <v>0</v>
      </c>
      <c r="AG34" s="589">
        <f t="shared" si="296"/>
        <v>0</v>
      </c>
      <c r="AH34" s="587">
        <f t="shared" ref="AH34:CA34" si="297">SUM(AH32:AH33)</f>
        <v>0</v>
      </c>
      <c r="AI34" s="461">
        <f t="shared" si="297"/>
        <v>3935882088.75</v>
      </c>
      <c r="AJ34" s="461">
        <f t="shared" si="297"/>
        <v>1841663787.1700001</v>
      </c>
      <c r="AK34" s="461">
        <f t="shared" si="297"/>
        <v>227874423</v>
      </c>
      <c r="AL34" s="455">
        <f>SUM(AL32:AL33)</f>
        <v>0</v>
      </c>
      <c r="AM34" s="455">
        <f>SUM(AM32:AM33)</f>
        <v>227874423</v>
      </c>
      <c r="AN34" s="455">
        <f t="shared" ref="AN34" si="298">SUM(AN32:AN33)</f>
        <v>0</v>
      </c>
      <c r="AO34" s="581">
        <f>SUM(AO32:AO33)</f>
        <v>0</v>
      </c>
      <c r="AP34" s="458">
        <f>SUM(AP32:AP33)</f>
        <v>0</v>
      </c>
      <c r="AQ34" s="461">
        <f t="shared" si="297"/>
        <v>103006581</v>
      </c>
      <c r="AR34" s="458">
        <f>SUM(AR32:AR33)</f>
        <v>0</v>
      </c>
      <c r="AS34" s="458">
        <f>SUM(AS32:AS33)</f>
        <v>103006581</v>
      </c>
      <c r="AT34" s="458">
        <f t="shared" ref="AT34" si="299">SUM(AT32:AT33)</f>
        <v>0</v>
      </c>
      <c r="AU34" s="458">
        <f>SUM(AU32:AU33)</f>
        <v>0</v>
      </c>
      <c r="AV34" s="458">
        <f>SUM(AV32:AV33)</f>
        <v>0</v>
      </c>
      <c r="AW34" s="461">
        <f t="shared" si="297"/>
        <v>0</v>
      </c>
      <c r="AX34" s="458">
        <f>SUM(AX32:AX33)</f>
        <v>0</v>
      </c>
      <c r="AY34" s="455">
        <f>SUM(AY32:AY33)</f>
        <v>0</v>
      </c>
      <c r="AZ34" s="458">
        <f>SUM(AZ32:AZ33)</f>
        <v>0</v>
      </c>
      <c r="BA34" s="591">
        <f>SUM(BA32:BA33)</f>
        <v>0</v>
      </c>
      <c r="BB34" s="458">
        <f>SUM(BB32:BB33)</f>
        <v>0</v>
      </c>
      <c r="BC34" s="461">
        <f t="shared" si="297"/>
        <v>0</v>
      </c>
      <c r="BD34" s="458">
        <f>SUM(BD32:BD33)</f>
        <v>0</v>
      </c>
      <c r="BE34" s="458">
        <f>SUM(BE32:BE33)</f>
        <v>0</v>
      </c>
      <c r="BF34" s="458">
        <f>SUM(BF32:BF33)</f>
        <v>0</v>
      </c>
      <c r="BG34" s="592">
        <f>SUM(BG32:BG33)</f>
        <v>0</v>
      </c>
      <c r="BH34" s="458">
        <f>SUM(BH32:BH33)</f>
        <v>0</v>
      </c>
      <c r="BI34" s="654">
        <f t="shared" si="297"/>
        <v>0</v>
      </c>
      <c r="BJ34" s="590">
        <f>SUM(BJ32:BJ33)</f>
        <v>0</v>
      </c>
      <c r="BK34" s="581">
        <f>SUM(BK32:BK33)</f>
        <v>0</v>
      </c>
      <c r="BL34" s="590">
        <f t="shared" ref="BL34" si="300">SUM(BL32:BL33)</f>
        <v>0</v>
      </c>
      <c r="BM34" s="458">
        <f>SUM(BM32:BM33)</f>
        <v>0</v>
      </c>
      <c r="BN34" s="614">
        <f>SUM(BN32:BN33)</f>
        <v>0</v>
      </c>
      <c r="BO34" s="654">
        <f t="shared" si="297"/>
        <v>0</v>
      </c>
      <c r="BP34" s="458">
        <f>SUM(BP32:BP33)</f>
        <v>0</v>
      </c>
      <c r="BQ34" s="591">
        <f>SUM(BQ32:BQ33)</f>
        <v>0</v>
      </c>
      <c r="BR34" s="458">
        <f t="shared" ref="BR34" si="301">SUM(BR32:BR33)</f>
        <v>0</v>
      </c>
      <c r="BS34" s="592">
        <f>SUM(BS32:BS33)</f>
        <v>0</v>
      </c>
      <c r="BT34" s="458">
        <f>SUM(BT32:BT33)</f>
        <v>0</v>
      </c>
      <c r="BU34" s="654">
        <f t="shared" si="297"/>
        <v>0</v>
      </c>
      <c r="BV34" s="590">
        <f>SUM(BV32:BV33)</f>
        <v>0</v>
      </c>
      <c r="BW34" s="455">
        <f>SUM(BW32:BW33)</f>
        <v>0</v>
      </c>
      <c r="BX34" s="458">
        <f>SUM(BX32:BX33)</f>
        <v>0</v>
      </c>
      <c r="BY34" s="592">
        <f>SUM(BY32:BY33)</f>
        <v>0</v>
      </c>
      <c r="BZ34" s="458">
        <f>SUM(BZ32:BZ33)</f>
        <v>0</v>
      </c>
      <c r="CA34" s="579">
        <f t="shared" si="297"/>
        <v>0</v>
      </c>
      <c r="CB34" s="590">
        <f>SUM(CB32:CB33)</f>
        <v>0</v>
      </c>
      <c r="CC34" s="458">
        <f>SUM(CC32:CC33)</f>
        <v>0</v>
      </c>
      <c r="CD34" s="590">
        <f t="shared" ref="CD34" si="302">SUM(CD32:CD33)</f>
        <v>0</v>
      </c>
      <c r="CE34" s="458">
        <f>SUM(CE32:CE33)</f>
        <v>0</v>
      </c>
      <c r="CF34" s="458">
        <f>SUM(CF32:CF33)</f>
        <v>0</v>
      </c>
      <c r="CG34" s="595">
        <f>SUM(CG32:CG33)</f>
        <v>1043553215.5699999</v>
      </c>
      <c r="CH34" s="458">
        <f t="shared" ref="CH34:DA34" si="303">SUM(CH32:CH33)</f>
        <v>323888000</v>
      </c>
      <c r="CI34" s="455">
        <f t="shared" si="303"/>
        <v>17132715.57</v>
      </c>
      <c r="CJ34" s="455">
        <f t="shared" ref="CJ34" si="304">SUM(CJ32:CJ33)</f>
        <v>80000000</v>
      </c>
      <c r="CK34" s="455">
        <f>SUM(CK32:CK33)</f>
        <v>622532500</v>
      </c>
      <c r="CL34" s="336">
        <f>SUM(CL32:CL33)</f>
        <v>228079034.13999999</v>
      </c>
      <c r="CM34" s="590">
        <f t="shared" si="303"/>
        <v>27924918.539999999</v>
      </c>
      <c r="CN34" s="458">
        <f t="shared" si="303"/>
        <v>0</v>
      </c>
      <c r="CO34" s="458">
        <f t="shared" ref="CO34" si="305">SUM(CO32:CO33)</f>
        <v>10256662.810000001</v>
      </c>
      <c r="CP34" s="455">
        <f>SUM(CP32:CP33)</f>
        <v>189897452.79000002</v>
      </c>
      <c r="CQ34" s="503">
        <f>SUM(CQ32:CQ33)</f>
        <v>0</v>
      </c>
      <c r="CR34" s="458">
        <f t="shared" si="303"/>
        <v>0</v>
      </c>
      <c r="CS34" s="458">
        <f t="shared" si="303"/>
        <v>0</v>
      </c>
      <c r="CT34" s="458">
        <f t="shared" ref="CT34" si="306">SUM(CT32:CT33)</f>
        <v>0</v>
      </c>
      <c r="CU34" s="455">
        <f>SUM(CU32:CU33)</f>
        <v>0</v>
      </c>
      <c r="CV34" s="336">
        <f>SUM(CV32:CV33)</f>
        <v>0</v>
      </c>
      <c r="CW34" s="458">
        <f t="shared" si="303"/>
        <v>0</v>
      </c>
      <c r="CX34" s="592">
        <f t="shared" si="303"/>
        <v>0</v>
      </c>
      <c r="CY34" s="458">
        <f t="shared" si="303"/>
        <v>0</v>
      </c>
      <c r="CZ34" s="455">
        <f>SUM(CZ32:CZ33)</f>
        <v>0</v>
      </c>
      <c r="DA34" s="587">
        <f t="shared" si="303"/>
        <v>0</v>
      </c>
      <c r="DB34" s="587">
        <f t="shared" ref="DB34:EA34" si="307">SUM(DB32:DB33)</f>
        <v>0</v>
      </c>
      <c r="DC34" s="587">
        <f t="shared" si="307"/>
        <v>0</v>
      </c>
      <c r="DD34" s="551">
        <f t="shared" si="307"/>
        <v>0</v>
      </c>
      <c r="DE34" s="503">
        <f t="shared" si="307"/>
        <v>261037664.93000001</v>
      </c>
      <c r="DF34" s="432">
        <f t="shared" si="307"/>
        <v>78311299.480000004</v>
      </c>
      <c r="DG34" s="503">
        <f t="shared" si="307"/>
        <v>0</v>
      </c>
      <c r="DH34" s="432">
        <f t="shared" si="307"/>
        <v>0</v>
      </c>
      <c r="DI34" s="589">
        <f t="shared" si="307"/>
        <v>0</v>
      </c>
      <c r="DJ34" s="551">
        <f t="shared" si="307"/>
        <v>0</v>
      </c>
      <c r="DK34" s="589">
        <f t="shared" si="307"/>
        <v>0</v>
      </c>
      <c r="DL34" s="551">
        <f t="shared" si="307"/>
        <v>0</v>
      </c>
      <c r="DM34" s="593">
        <f t="shared" si="307"/>
        <v>13738824.470000001</v>
      </c>
      <c r="DN34" s="432">
        <f t="shared" si="307"/>
        <v>4121647.34</v>
      </c>
      <c r="DO34" s="593">
        <f t="shared" si="307"/>
        <v>0</v>
      </c>
      <c r="DP34" s="432">
        <f t="shared" si="307"/>
        <v>0</v>
      </c>
      <c r="DQ34" s="594">
        <f t="shared" si="307"/>
        <v>0</v>
      </c>
      <c r="DR34" s="551">
        <f t="shared" si="307"/>
        <v>0</v>
      </c>
      <c r="DS34" s="594">
        <f t="shared" si="307"/>
        <v>0</v>
      </c>
      <c r="DT34" s="551">
        <f t="shared" si="307"/>
        <v>0</v>
      </c>
      <c r="DU34" s="593">
        <f t="shared" si="307"/>
        <v>6519971.7999999998</v>
      </c>
      <c r="DV34" s="637">
        <f t="shared" si="307"/>
        <v>3720000</v>
      </c>
      <c r="DW34" s="590">
        <f t="shared" si="307"/>
        <v>280000</v>
      </c>
      <c r="DX34" s="674">
        <f t="shared" si="307"/>
        <v>719971.8</v>
      </c>
      <c r="DY34" s="592">
        <f t="shared" si="307"/>
        <v>0</v>
      </c>
      <c r="DZ34" s="674">
        <f t="shared" si="307"/>
        <v>0</v>
      </c>
      <c r="EA34" s="760">
        <f t="shared" si="307"/>
        <v>1800000</v>
      </c>
      <c r="EB34" s="637">
        <f t="shared" ref="EB34:EX34" si="308">SUM(EB32:EB33)</f>
        <v>0</v>
      </c>
      <c r="EC34" s="432">
        <f t="shared" si="308"/>
        <v>2229622.16</v>
      </c>
      <c r="ED34" s="760">
        <f t="shared" si="308"/>
        <v>1946079.8599999999</v>
      </c>
      <c r="EE34" s="590">
        <f t="shared" si="308"/>
        <v>0</v>
      </c>
      <c r="EF34" s="674">
        <f t="shared" si="308"/>
        <v>0</v>
      </c>
      <c r="EG34" s="590">
        <f t="shared" si="308"/>
        <v>0</v>
      </c>
      <c r="EH34" s="674">
        <f t="shared" si="308"/>
        <v>0</v>
      </c>
      <c r="EI34" s="761">
        <f t="shared" si="308"/>
        <v>283542.3</v>
      </c>
      <c r="EJ34" s="649">
        <f t="shared" si="308"/>
        <v>0</v>
      </c>
      <c r="EK34" s="432">
        <f t="shared" ref="EK34:EN34" si="309">SUM(EK32:EK33)</f>
        <v>0</v>
      </c>
      <c r="EL34" s="649">
        <f t="shared" si="309"/>
        <v>0</v>
      </c>
      <c r="EM34" s="432">
        <f t="shared" ref="EM34" si="310">SUM(EM32:EM33)</f>
        <v>0</v>
      </c>
      <c r="EN34" s="649">
        <f t="shared" si="309"/>
        <v>0</v>
      </c>
      <c r="EO34" s="579">
        <f t="shared" ref="EO34:ER34" si="311">SUM(EO32:EO33)</f>
        <v>0</v>
      </c>
      <c r="EP34" s="579">
        <f t="shared" si="311"/>
        <v>0</v>
      </c>
      <c r="EQ34" s="579">
        <f t="shared" si="311"/>
        <v>0</v>
      </c>
      <c r="ER34" s="579">
        <f t="shared" si="311"/>
        <v>0</v>
      </c>
      <c r="ES34" s="461">
        <f t="shared" si="308"/>
        <v>0</v>
      </c>
      <c r="ET34" s="458">
        <f t="shared" si="308"/>
        <v>0</v>
      </c>
      <c r="EU34" s="769">
        <f t="shared" si="308"/>
        <v>0</v>
      </c>
      <c r="EV34" s="432">
        <f t="shared" si="308"/>
        <v>0</v>
      </c>
      <c r="EW34" s="592">
        <f t="shared" si="308"/>
        <v>0</v>
      </c>
      <c r="EX34" s="674">
        <f t="shared" si="308"/>
        <v>0</v>
      </c>
      <c r="EY34" s="461">
        <f t="shared" ref="EY34:FD34" si="312">SUM(EY32:EY33)</f>
        <v>0</v>
      </c>
      <c r="EZ34" s="458">
        <f t="shared" si="312"/>
        <v>0</v>
      </c>
      <c r="FA34" s="769">
        <f t="shared" si="312"/>
        <v>0</v>
      </c>
      <c r="FB34" s="432">
        <f t="shared" si="312"/>
        <v>0</v>
      </c>
      <c r="FC34" s="592">
        <f t="shared" si="312"/>
        <v>0</v>
      </c>
      <c r="FD34" s="674">
        <f t="shared" si="312"/>
        <v>0</v>
      </c>
      <c r="FE34" s="546">
        <f t="shared" ref="FE34:FN34" si="313">SUM(FE32:FE33)</f>
        <v>44969663.159999996</v>
      </c>
      <c r="FF34" s="590">
        <f t="shared" si="313"/>
        <v>143220</v>
      </c>
      <c r="FG34" s="674">
        <f t="shared" si="313"/>
        <v>2721180</v>
      </c>
      <c r="FH34" s="590">
        <f t="shared" si="313"/>
        <v>2105263.16</v>
      </c>
      <c r="FI34" s="672">
        <f t="shared" si="313"/>
        <v>40000000</v>
      </c>
      <c r="FJ34" s="546">
        <f t="shared" si="313"/>
        <v>14736842.109999999</v>
      </c>
      <c r="FK34" s="590">
        <f t="shared" si="313"/>
        <v>0</v>
      </c>
      <c r="FL34" s="674">
        <f t="shared" si="313"/>
        <v>0</v>
      </c>
      <c r="FM34" s="590">
        <f t="shared" si="313"/>
        <v>736842.1099999994</v>
      </c>
      <c r="FN34" s="674">
        <f t="shared" si="313"/>
        <v>14000000</v>
      </c>
      <c r="FO34" s="461">
        <f t="shared" ref="FO34:FT34" si="314">SUM(FO32:FO33)</f>
        <v>264892710</v>
      </c>
      <c r="FP34" s="458">
        <f t="shared" si="314"/>
        <v>13244635.99</v>
      </c>
      <c r="FQ34" s="769">
        <f t="shared" si="314"/>
        <v>251648074.00999999</v>
      </c>
      <c r="FR34" s="432">
        <f t="shared" si="314"/>
        <v>2221747.25</v>
      </c>
      <c r="FS34" s="592">
        <f t="shared" si="314"/>
        <v>111087.37</v>
      </c>
      <c r="FT34" s="674">
        <f t="shared" si="314"/>
        <v>2110659.88</v>
      </c>
      <c r="FU34" s="461">
        <f t="shared" ref="FU34:FZ34" si="315">SUM(FU32:FU33)</f>
        <v>6082100</v>
      </c>
      <c r="FV34" s="647">
        <f t="shared" si="315"/>
        <v>1703000</v>
      </c>
      <c r="FW34" s="793">
        <f t="shared" si="315"/>
        <v>4379100</v>
      </c>
      <c r="FX34" s="432">
        <f t="shared" si="315"/>
        <v>5329484.1100000003</v>
      </c>
      <c r="FY34" s="649">
        <f t="shared" si="315"/>
        <v>1492266.0600000005</v>
      </c>
      <c r="FZ34" s="674">
        <f t="shared" si="315"/>
        <v>3837218.05</v>
      </c>
      <c r="GA34" s="593">
        <f t="shared" ref="GA34:HE34" si="316">SUM(GA32:GA33)</f>
        <v>0</v>
      </c>
      <c r="GB34" s="649">
        <f t="shared" si="316"/>
        <v>0</v>
      </c>
      <c r="GC34" s="674">
        <f t="shared" si="316"/>
        <v>0</v>
      </c>
      <c r="GD34" s="432">
        <f t="shared" si="316"/>
        <v>0</v>
      </c>
      <c r="GE34" s="783">
        <f t="shared" si="316"/>
        <v>0</v>
      </c>
      <c r="GF34" s="672">
        <f t="shared" si="316"/>
        <v>0</v>
      </c>
      <c r="GG34" s="432">
        <f t="shared" si="316"/>
        <v>0</v>
      </c>
      <c r="GH34" s="760">
        <f t="shared" si="316"/>
        <v>0</v>
      </c>
      <c r="GI34" s="674">
        <f t="shared" si="316"/>
        <v>0</v>
      </c>
      <c r="GJ34" s="432">
        <f t="shared" si="316"/>
        <v>0</v>
      </c>
      <c r="GK34" s="637">
        <f t="shared" si="316"/>
        <v>0</v>
      </c>
      <c r="GL34" s="674">
        <f t="shared" si="316"/>
        <v>0</v>
      </c>
      <c r="GM34" s="579">
        <f t="shared" si="316"/>
        <v>0</v>
      </c>
      <c r="GN34" s="761">
        <f t="shared" si="316"/>
        <v>0</v>
      </c>
      <c r="GO34" s="672">
        <f t="shared" si="316"/>
        <v>0</v>
      </c>
      <c r="GP34" s="655">
        <f t="shared" si="316"/>
        <v>0</v>
      </c>
      <c r="GQ34" s="647">
        <f t="shared" si="316"/>
        <v>0</v>
      </c>
      <c r="GR34" s="769">
        <f t="shared" si="316"/>
        <v>0</v>
      </c>
      <c r="GS34" s="579">
        <f t="shared" si="316"/>
        <v>0</v>
      </c>
      <c r="GT34" s="761">
        <f t="shared" si="316"/>
        <v>0</v>
      </c>
      <c r="GU34" s="672">
        <f t="shared" si="316"/>
        <v>0</v>
      </c>
      <c r="GV34" s="579">
        <f t="shared" si="316"/>
        <v>0</v>
      </c>
      <c r="GW34" s="783">
        <f t="shared" si="316"/>
        <v>0</v>
      </c>
      <c r="GX34" s="672">
        <f t="shared" si="316"/>
        <v>0</v>
      </c>
      <c r="GY34" s="432">
        <f t="shared" ref="GY34" si="317">SUM(GY32:GY33)</f>
        <v>0</v>
      </c>
      <c r="GZ34" s="458">
        <f>SUM(GZ32:GZ33)</f>
        <v>0</v>
      </c>
      <c r="HA34" s="707">
        <f>SUM(HA32:HA33)</f>
        <v>0</v>
      </c>
      <c r="HB34" s="432">
        <f t="shared" ref="HB34" si="318">SUM(HB32:HB33)</f>
        <v>0</v>
      </c>
      <c r="HC34" s="458">
        <f>SUM(HC32:HC33)</f>
        <v>0</v>
      </c>
      <c r="HD34" s="707">
        <f>SUM(HD32:HD33)</f>
        <v>0</v>
      </c>
      <c r="HE34" s="501">
        <f t="shared" si="316"/>
        <v>1465371.4</v>
      </c>
      <c r="HF34" s="458">
        <f>SUM(HF32:HF33)</f>
        <v>0</v>
      </c>
      <c r="HG34" s="707">
        <f>SUM(HG32:HG33)</f>
        <v>0</v>
      </c>
      <c r="HH34" s="647">
        <f t="shared" ref="HH34:ID34" si="319">SUM(HH32:HH33)</f>
        <v>1315217.4100000001</v>
      </c>
      <c r="HI34" s="707">
        <f t="shared" si="319"/>
        <v>150153.99</v>
      </c>
      <c r="HJ34" s="637">
        <f t="shared" si="319"/>
        <v>0</v>
      </c>
      <c r="HK34" s="789">
        <f t="shared" si="319"/>
        <v>0</v>
      </c>
      <c r="HL34" s="649">
        <f t="shared" si="319"/>
        <v>0</v>
      </c>
      <c r="HM34" s="672">
        <f t="shared" si="319"/>
        <v>0</v>
      </c>
      <c r="HN34" s="501">
        <f t="shared" si="319"/>
        <v>1465371.4</v>
      </c>
      <c r="HO34" s="458">
        <f>SUM(HO32:HO33)</f>
        <v>0</v>
      </c>
      <c r="HP34" s="707">
        <f>SUM(HP32:HP33)</f>
        <v>0</v>
      </c>
      <c r="HQ34" s="458">
        <f t="shared" si="319"/>
        <v>1315217.4100000001</v>
      </c>
      <c r="HR34" s="769">
        <f t="shared" si="319"/>
        <v>150153.99</v>
      </c>
      <c r="HS34" s="458">
        <f t="shared" si="319"/>
        <v>0</v>
      </c>
      <c r="HT34" s="707">
        <f t="shared" si="319"/>
        <v>0</v>
      </c>
      <c r="HU34" s="458">
        <f t="shared" si="319"/>
        <v>0</v>
      </c>
      <c r="HV34" s="707">
        <f t="shared" si="319"/>
        <v>0</v>
      </c>
      <c r="HW34" s="336">
        <f t="shared" si="319"/>
        <v>0</v>
      </c>
      <c r="HX34" s="458">
        <f>SUM(HX32:HX33)</f>
        <v>0</v>
      </c>
      <c r="HY34" s="707">
        <f>SUM(HY32:HY33)</f>
        <v>0</v>
      </c>
      <c r="HZ34" s="637">
        <f t="shared" si="319"/>
        <v>0</v>
      </c>
      <c r="IA34" s="674">
        <f t="shared" si="319"/>
        <v>0</v>
      </c>
      <c r="IB34" s="637">
        <f t="shared" si="319"/>
        <v>0</v>
      </c>
      <c r="IC34" s="769">
        <f t="shared" si="319"/>
        <v>0</v>
      </c>
      <c r="ID34" s="458">
        <f t="shared" si="319"/>
        <v>0</v>
      </c>
      <c r="IE34" s="674">
        <f t="shared" ref="IE34:JJ34" si="320">SUM(IE32:IE33)</f>
        <v>0</v>
      </c>
      <c r="IF34" s="501">
        <f t="shared" si="320"/>
        <v>0</v>
      </c>
      <c r="IG34" s="458">
        <f t="shared" ref="IG34:IH34" si="321">SUM(IG32:IG33)</f>
        <v>0</v>
      </c>
      <c r="IH34" s="707">
        <f t="shared" si="321"/>
        <v>0</v>
      </c>
      <c r="II34" s="592">
        <f t="shared" si="320"/>
        <v>0</v>
      </c>
      <c r="IJ34" s="674">
        <f t="shared" si="320"/>
        <v>0</v>
      </c>
      <c r="IK34" s="592">
        <f t="shared" si="320"/>
        <v>0</v>
      </c>
      <c r="IL34" s="674">
        <f t="shared" si="320"/>
        <v>0</v>
      </c>
      <c r="IM34" s="458">
        <f t="shared" si="320"/>
        <v>0</v>
      </c>
      <c r="IN34" s="707">
        <f t="shared" si="320"/>
        <v>0</v>
      </c>
      <c r="IO34" s="759">
        <f t="shared" si="320"/>
        <v>0</v>
      </c>
      <c r="IP34" s="458">
        <f>SUM(IP32:IP33)</f>
        <v>0</v>
      </c>
      <c r="IQ34" s="707">
        <f>SUM(IQ32:IQ33)</f>
        <v>0</v>
      </c>
      <c r="IR34" s="637">
        <f t="shared" si="320"/>
        <v>0</v>
      </c>
      <c r="IS34" s="672">
        <f t="shared" si="320"/>
        <v>0</v>
      </c>
      <c r="IT34" s="761">
        <f t="shared" si="320"/>
        <v>0</v>
      </c>
      <c r="IU34" s="672">
        <f t="shared" si="320"/>
        <v>0</v>
      </c>
      <c r="IV34" s="647">
        <f t="shared" si="320"/>
        <v>0</v>
      </c>
      <c r="IW34" s="672">
        <f t="shared" si="320"/>
        <v>0</v>
      </c>
      <c r="IX34" s="759">
        <f t="shared" si="320"/>
        <v>0</v>
      </c>
      <c r="IY34" s="458">
        <f>SUM(IY32:IY33)</f>
        <v>0</v>
      </c>
      <c r="IZ34" s="707">
        <f>SUM(IZ32:IZ33)</f>
        <v>0</v>
      </c>
      <c r="JA34" s="647">
        <f t="shared" si="320"/>
        <v>0</v>
      </c>
      <c r="JB34" s="769">
        <f t="shared" si="320"/>
        <v>0</v>
      </c>
      <c r="JC34" s="647">
        <f t="shared" si="320"/>
        <v>0</v>
      </c>
      <c r="JD34" s="769">
        <f t="shared" si="320"/>
        <v>0</v>
      </c>
      <c r="JE34" s="637">
        <f t="shared" si="320"/>
        <v>0</v>
      </c>
      <c r="JF34" s="769">
        <f t="shared" si="320"/>
        <v>0</v>
      </c>
      <c r="JG34" s="587">
        <f t="shared" si="320"/>
        <v>0</v>
      </c>
      <c r="JH34" s="458">
        <f>SUM(JH32:JH33)</f>
        <v>0</v>
      </c>
      <c r="JI34" s="707">
        <f>SUM(JI32:JI33)</f>
        <v>0</v>
      </c>
      <c r="JJ34" s="647">
        <f t="shared" si="320"/>
        <v>0</v>
      </c>
      <c r="JK34" s="674">
        <f t="shared" ref="JK34:JY34" si="322">SUM(JK32:JK33)</f>
        <v>0</v>
      </c>
      <c r="JL34" s="647">
        <f t="shared" si="322"/>
        <v>0</v>
      </c>
      <c r="JM34" s="707">
        <f t="shared" si="322"/>
        <v>0</v>
      </c>
      <c r="JN34" s="458">
        <f t="shared" si="322"/>
        <v>0</v>
      </c>
      <c r="JO34" s="674">
        <f t="shared" si="322"/>
        <v>0</v>
      </c>
      <c r="JP34" s="762">
        <f t="shared" si="322"/>
        <v>0</v>
      </c>
      <c r="JQ34" s="458">
        <f>SUM(JQ32:JQ33)</f>
        <v>0</v>
      </c>
      <c r="JR34" s="707">
        <f>SUM(JR32:JR33)</f>
        <v>0</v>
      </c>
      <c r="JS34" s="647">
        <f t="shared" si="322"/>
        <v>0</v>
      </c>
      <c r="JT34" s="769">
        <f t="shared" si="322"/>
        <v>0</v>
      </c>
      <c r="JU34" s="647">
        <f t="shared" si="322"/>
        <v>0</v>
      </c>
      <c r="JV34" s="707">
        <f t="shared" si="322"/>
        <v>0</v>
      </c>
      <c r="JW34" s="458">
        <f t="shared" si="322"/>
        <v>0</v>
      </c>
      <c r="JX34" s="707">
        <f t="shared" si="322"/>
        <v>0</v>
      </c>
      <c r="JY34" s="336">
        <f t="shared" si="322"/>
        <v>233947767.69999999</v>
      </c>
      <c r="JZ34" s="455">
        <f t="shared" ref="JZ34:LG34" si="323">SUM(JZ32:JZ33)</f>
        <v>49214600</v>
      </c>
      <c r="KA34" s="769">
        <f t="shared" si="323"/>
        <v>126551900</v>
      </c>
      <c r="KB34" s="455">
        <f t="shared" ref="KB34:KD34" si="324">SUM(KB32:KB33)</f>
        <v>16290767.699999999</v>
      </c>
      <c r="KC34" s="769">
        <f t="shared" si="324"/>
        <v>41890500</v>
      </c>
      <c r="KD34" s="336">
        <f t="shared" si="324"/>
        <v>78017609.939999998</v>
      </c>
      <c r="KE34" s="455">
        <f t="shared" si="323"/>
        <v>19181860.600000001</v>
      </c>
      <c r="KF34" s="674">
        <f t="shared" si="323"/>
        <v>49324789.339999996</v>
      </c>
      <c r="KG34" s="455">
        <f t="shared" ref="KG34:KH34" si="325">SUM(KG32:KG33)</f>
        <v>2663070.88</v>
      </c>
      <c r="KH34" s="674">
        <f t="shared" si="325"/>
        <v>6847889.1200000001</v>
      </c>
      <c r="KI34" s="546">
        <f t="shared" si="323"/>
        <v>215509099.59999999</v>
      </c>
      <c r="KJ34" s="581">
        <f t="shared" si="323"/>
        <v>4449655.1400000006</v>
      </c>
      <c r="KK34" s="455">
        <f>SUM(KK32:KK33)</f>
        <v>23434483.34</v>
      </c>
      <c r="KL34" s="672">
        <f t="shared" ref="KL34" si="326">SUM(KL32:KL33)</f>
        <v>60260100</v>
      </c>
      <c r="KM34" s="455">
        <f t="shared" si="323"/>
        <v>35662161.119999997</v>
      </c>
      <c r="KN34" s="672">
        <f t="shared" si="323"/>
        <v>91702700</v>
      </c>
      <c r="KO34" s="461">
        <f t="shared" si="323"/>
        <v>43243388.469999999</v>
      </c>
      <c r="KP34" s="783">
        <f t="shared" si="323"/>
        <v>4449655.1400000006</v>
      </c>
      <c r="KQ34" s="458">
        <f>SUM(KQ32:KQ33)</f>
        <v>10862245.34</v>
      </c>
      <c r="KR34" s="674">
        <f t="shared" ref="KR34" si="327">SUM(KR32:KR33)</f>
        <v>27931487.989999998</v>
      </c>
      <c r="KS34" s="590">
        <f t="shared" si="323"/>
        <v>0</v>
      </c>
      <c r="KT34" s="674">
        <f t="shared" si="323"/>
        <v>0</v>
      </c>
      <c r="KU34" s="336">
        <f t="shared" si="323"/>
        <v>0</v>
      </c>
      <c r="KV34" s="455">
        <f t="shared" si="323"/>
        <v>0</v>
      </c>
      <c r="KW34" s="455">
        <f t="shared" si="323"/>
        <v>0</v>
      </c>
      <c r="KX34" s="672">
        <f t="shared" si="323"/>
        <v>0</v>
      </c>
      <c r="KY34" s="336">
        <f t="shared" si="323"/>
        <v>0</v>
      </c>
      <c r="KZ34" s="647">
        <f t="shared" si="323"/>
        <v>0</v>
      </c>
      <c r="LA34" s="647">
        <f t="shared" si="323"/>
        <v>0</v>
      </c>
      <c r="LB34" s="672">
        <f t="shared" si="323"/>
        <v>0</v>
      </c>
      <c r="LC34" s="588">
        <f t="shared" si="323"/>
        <v>0</v>
      </c>
      <c r="LD34" s="588">
        <f t="shared" si="323"/>
        <v>0</v>
      </c>
      <c r="LE34" s="935">
        <f t="shared" si="323"/>
        <v>0</v>
      </c>
      <c r="LF34" s="588">
        <f t="shared" si="323"/>
        <v>0</v>
      </c>
      <c r="LG34" s="432">
        <f t="shared" si="323"/>
        <v>307009629.63</v>
      </c>
      <c r="LH34" s="761">
        <f t="shared" ref="LH34:MD34" si="328">SUM(LH32:LH33)</f>
        <v>3750000</v>
      </c>
      <c r="LI34" s="672">
        <f t="shared" si="328"/>
        <v>71250000</v>
      </c>
      <c r="LJ34" s="783">
        <f>SUM(LJ32:LJ33)</f>
        <v>11600000</v>
      </c>
      <c r="LK34" s="674">
        <f t="shared" si="328"/>
        <v>220400000</v>
      </c>
      <c r="LL34" s="647">
        <f>SUM(LL32:LL33)</f>
        <v>4429.6299999999992</v>
      </c>
      <c r="LM34" s="769">
        <f t="shared" ref="LM34" si="329">SUM(LM32:LM33)</f>
        <v>5200</v>
      </c>
      <c r="LN34" s="432">
        <f t="shared" si="328"/>
        <v>71263048.219999999</v>
      </c>
      <c r="LO34" s="761">
        <f t="shared" si="328"/>
        <v>603245.53</v>
      </c>
      <c r="LP34" s="672">
        <f t="shared" si="328"/>
        <v>11461665.09</v>
      </c>
      <c r="LQ34" s="647">
        <f>SUM(LQ32:LQ33)</f>
        <v>2959906.88</v>
      </c>
      <c r="LR34" s="769">
        <f t="shared" si="328"/>
        <v>56238230.719999999</v>
      </c>
      <c r="LS34" s="647">
        <f>SUM(LS32:LS33)</f>
        <v>0</v>
      </c>
      <c r="LT34" s="769">
        <f t="shared" ref="LT34" si="330">SUM(LT32:LT33)</f>
        <v>0</v>
      </c>
      <c r="LU34" s="432">
        <f t="shared" si="328"/>
        <v>0</v>
      </c>
      <c r="LV34" s="647">
        <f t="shared" si="328"/>
        <v>0</v>
      </c>
      <c r="LW34" s="769">
        <f t="shared" si="328"/>
        <v>0</v>
      </c>
      <c r="LX34" s="647">
        <f>SUM(LX32:LX33)</f>
        <v>0</v>
      </c>
      <c r="LY34" s="674">
        <f t="shared" si="328"/>
        <v>0</v>
      </c>
      <c r="LZ34" s="593">
        <f t="shared" si="328"/>
        <v>0</v>
      </c>
      <c r="MA34" s="647">
        <f t="shared" si="328"/>
        <v>0</v>
      </c>
      <c r="MB34" s="793">
        <f t="shared" si="328"/>
        <v>0</v>
      </c>
      <c r="MC34" s="637">
        <f>SUM(MC32:MC33)</f>
        <v>0</v>
      </c>
      <c r="MD34" s="672">
        <f t="shared" si="328"/>
        <v>0</v>
      </c>
      <c r="ME34" s="551">
        <f t="shared" ref="ME34:NJ34" si="331">SUM(ME32:ME33)</f>
        <v>0</v>
      </c>
      <c r="MF34" s="761">
        <f t="shared" si="331"/>
        <v>0</v>
      </c>
      <c r="MG34" s="674">
        <f t="shared" si="331"/>
        <v>0</v>
      </c>
      <c r="MH34" s="769">
        <f t="shared" si="331"/>
        <v>0</v>
      </c>
      <c r="MI34" s="637">
        <f t="shared" si="331"/>
        <v>0</v>
      </c>
      <c r="MJ34" s="551">
        <f t="shared" si="331"/>
        <v>0</v>
      </c>
      <c r="MK34" s="761">
        <f t="shared" si="331"/>
        <v>0</v>
      </c>
      <c r="ML34" s="674">
        <f t="shared" si="331"/>
        <v>0</v>
      </c>
      <c r="MM34" s="769">
        <f t="shared" si="331"/>
        <v>0</v>
      </c>
      <c r="MN34" s="637">
        <f t="shared" si="331"/>
        <v>0</v>
      </c>
      <c r="MO34" s="589">
        <f t="shared" si="331"/>
        <v>0</v>
      </c>
      <c r="MP34" s="647">
        <f t="shared" si="331"/>
        <v>0</v>
      </c>
      <c r="MQ34" s="769">
        <f t="shared" si="331"/>
        <v>0</v>
      </c>
      <c r="MR34" s="672">
        <f t="shared" si="331"/>
        <v>0</v>
      </c>
      <c r="MS34" s="761">
        <f t="shared" si="331"/>
        <v>0</v>
      </c>
      <c r="MT34" s="551">
        <f t="shared" si="331"/>
        <v>0</v>
      </c>
      <c r="MU34" s="761">
        <f t="shared" si="331"/>
        <v>0</v>
      </c>
      <c r="MV34" s="672">
        <f t="shared" si="331"/>
        <v>0</v>
      </c>
      <c r="MW34" s="769">
        <f t="shared" si="331"/>
        <v>0</v>
      </c>
      <c r="MX34" s="647">
        <f t="shared" si="331"/>
        <v>0</v>
      </c>
      <c r="MY34" s="503">
        <f t="shared" si="331"/>
        <v>0</v>
      </c>
      <c r="MZ34" s="458">
        <f t="shared" si="331"/>
        <v>0</v>
      </c>
      <c r="NA34" s="336">
        <f t="shared" si="331"/>
        <v>0</v>
      </c>
      <c r="NB34" s="458">
        <f t="shared" si="331"/>
        <v>0</v>
      </c>
      <c r="NC34" s="546">
        <f t="shared" si="331"/>
        <v>0</v>
      </c>
      <c r="ND34" s="590">
        <f t="shared" si="331"/>
        <v>0</v>
      </c>
      <c r="NE34" s="674">
        <f t="shared" si="331"/>
        <v>0</v>
      </c>
      <c r="NF34" s="546">
        <f t="shared" si="331"/>
        <v>0</v>
      </c>
      <c r="NG34" s="458">
        <f t="shared" si="331"/>
        <v>0</v>
      </c>
      <c r="NH34" s="674">
        <f t="shared" si="331"/>
        <v>0</v>
      </c>
      <c r="NI34" s="935">
        <f t="shared" si="331"/>
        <v>0</v>
      </c>
      <c r="NJ34" s="458">
        <f t="shared" si="331"/>
        <v>0</v>
      </c>
      <c r="NK34" s="769">
        <f t="shared" ref="NK34:SF34" si="332">SUM(NK32:NK33)</f>
        <v>0</v>
      </c>
      <c r="NL34" s="935">
        <f t="shared" si="332"/>
        <v>0</v>
      </c>
      <c r="NM34" s="458">
        <f t="shared" si="332"/>
        <v>0</v>
      </c>
      <c r="NN34" s="769">
        <f t="shared" si="332"/>
        <v>0</v>
      </c>
      <c r="NO34" s="935">
        <f t="shared" si="332"/>
        <v>0</v>
      </c>
      <c r="NP34" s="458">
        <f t="shared" si="332"/>
        <v>0</v>
      </c>
      <c r="NQ34" s="769">
        <f t="shared" si="332"/>
        <v>0</v>
      </c>
      <c r="NR34" s="935">
        <f t="shared" si="332"/>
        <v>0</v>
      </c>
      <c r="NS34" s="458">
        <f t="shared" si="332"/>
        <v>0</v>
      </c>
      <c r="NT34" s="707">
        <f t="shared" si="332"/>
        <v>0</v>
      </c>
      <c r="NU34" s="432">
        <f>SUM(NU32:NU33)</f>
        <v>0</v>
      </c>
      <c r="NV34" s="455">
        <f>SUM(NV32:NV33)</f>
        <v>0</v>
      </c>
      <c r="NW34" s="769">
        <f>SUM(NW32:NW33)</f>
        <v>0</v>
      </c>
      <c r="NX34" s="432">
        <f>SUM(NX32:NX33)</f>
        <v>0</v>
      </c>
      <c r="NY34" s="590">
        <f t="shared" ref="NY34:NZ34" si="333">SUM(NY32:NY33)</f>
        <v>0</v>
      </c>
      <c r="NZ34" s="674">
        <f t="shared" si="333"/>
        <v>0</v>
      </c>
      <c r="OA34" s="432">
        <f t="shared" ref="OA34" si="334">SUM(OA32:OA33)</f>
        <v>0</v>
      </c>
      <c r="OD34" s="432">
        <f t="shared" ref="OD34" si="335">SUM(OD32:OD33)</f>
        <v>0</v>
      </c>
      <c r="OG34" s="551">
        <f t="shared" ref="OG34" si="336">SUM(OG32:OG33)</f>
        <v>0</v>
      </c>
      <c r="OJ34" s="551">
        <f t="shared" ref="OJ34" si="337">SUM(OJ32:OJ33)</f>
        <v>0</v>
      </c>
      <c r="OM34" s="551">
        <f t="shared" ref="OM34" si="338">SUM(OM32:OM33)</f>
        <v>0</v>
      </c>
      <c r="OP34" s="551">
        <f t="shared" ref="OP34" si="339">SUM(OP32:OP33)</f>
        <v>0</v>
      </c>
      <c r="OS34" s="546">
        <f t="shared" si="332"/>
        <v>0</v>
      </c>
      <c r="OT34" s="455">
        <f t="shared" ref="OT34:OY34" si="340">SUM(OT32:OT33)</f>
        <v>0</v>
      </c>
      <c r="OU34" s="793">
        <f t="shared" si="340"/>
        <v>0</v>
      </c>
      <c r="OV34" s="458">
        <f t="shared" si="340"/>
        <v>0</v>
      </c>
      <c r="OW34" s="707">
        <f t="shared" si="340"/>
        <v>0</v>
      </c>
      <c r="OX34" s="458">
        <f t="shared" si="340"/>
        <v>0</v>
      </c>
      <c r="OY34" s="672">
        <f t="shared" si="340"/>
        <v>0</v>
      </c>
      <c r="OZ34" s="546">
        <f t="shared" ref="OZ34" si="341">SUM(OZ32:OZ33)</f>
        <v>0</v>
      </c>
      <c r="PA34" s="590">
        <f t="shared" ref="PA34:PF34" si="342">SUM(PA32:PA33)</f>
        <v>0</v>
      </c>
      <c r="PB34" s="674">
        <f t="shared" si="342"/>
        <v>0</v>
      </c>
      <c r="PC34" s="458">
        <f t="shared" si="342"/>
        <v>0</v>
      </c>
      <c r="PD34" s="674">
        <f t="shared" si="342"/>
        <v>0</v>
      </c>
      <c r="PE34" s="590">
        <f t="shared" si="342"/>
        <v>0</v>
      </c>
      <c r="PF34" s="674">
        <f t="shared" si="342"/>
        <v>0</v>
      </c>
      <c r="PG34" s="546">
        <f t="shared" ref="PG34" si="343">SUM(PG32:PG33)</f>
        <v>0</v>
      </c>
      <c r="PH34" s="637">
        <f>SUM(PH32:PH33)</f>
        <v>0</v>
      </c>
      <c r="PI34" s="1291">
        <f>SUM(PI32:PI33)</f>
        <v>0</v>
      </c>
      <c r="PJ34" s="458">
        <f t="shared" ref="PJ34:PK34" si="344">SUM(PJ32:PJ33)</f>
        <v>0</v>
      </c>
      <c r="PK34" s="672">
        <f t="shared" si="344"/>
        <v>0</v>
      </c>
      <c r="PL34" s="455">
        <f>SUM(PL32:PL33)</f>
        <v>0</v>
      </c>
      <c r="PM34" s="707">
        <f>SUM(PM32:PM33)</f>
        <v>0</v>
      </c>
      <c r="PN34" s="458">
        <f>SUM(PN32:PN33)</f>
        <v>0</v>
      </c>
      <c r="PO34" s="672">
        <f>SUM(PO32:PO33)</f>
        <v>0</v>
      </c>
      <c r="PP34" s="336">
        <f t="shared" ref="PP34" si="345">SUM(PP32:PP33)</f>
        <v>0</v>
      </c>
      <c r="PQ34" s="458">
        <f>SUM(PQ32:PQ33)</f>
        <v>0</v>
      </c>
      <c r="PR34" s="707">
        <f>SUM(PR32:PR33)</f>
        <v>0</v>
      </c>
      <c r="PS34" s="590">
        <f t="shared" ref="PS34:PT34" si="346">SUM(PS32:PS33)</f>
        <v>0</v>
      </c>
      <c r="PT34" s="674">
        <f t="shared" si="346"/>
        <v>0</v>
      </c>
      <c r="PU34" s="458">
        <f>SUM(PU32:PU33)</f>
        <v>0</v>
      </c>
      <c r="PV34" s="769">
        <f>SUM(PV32:PV33)</f>
        <v>0</v>
      </c>
      <c r="PW34" s="458">
        <f>SUM(PW32:PW33)</f>
        <v>0</v>
      </c>
      <c r="PX34" s="674">
        <f>SUM(PX32:PX33)</f>
        <v>0</v>
      </c>
      <c r="PY34" s="935">
        <f t="shared" ref="PY34:QZ34" si="347">SUM(PY32:PY33)</f>
        <v>0</v>
      </c>
      <c r="PZ34" s="458">
        <f t="shared" si="347"/>
        <v>0</v>
      </c>
      <c r="QA34" s="674">
        <f t="shared" si="347"/>
        <v>0</v>
      </c>
      <c r="QB34" s="590">
        <f t="shared" si="347"/>
        <v>0</v>
      </c>
      <c r="QC34" s="674">
        <f t="shared" si="347"/>
        <v>0</v>
      </c>
      <c r="QD34" s="590">
        <f>SUM(QD32:QD33)</f>
        <v>0</v>
      </c>
      <c r="QE34" s="674">
        <f>SUM(QE32:QE33)</f>
        <v>0</v>
      </c>
      <c r="QF34" s="458">
        <f t="shared" si="347"/>
        <v>0</v>
      </c>
      <c r="QG34" s="674">
        <f t="shared" si="347"/>
        <v>0</v>
      </c>
      <c r="QH34" s="935">
        <f t="shared" si="347"/>
        <v>0</v>
      </c>
      <c r="QI34" s="637">
        <f t="shared" si="347"/>
        <v>0</v>
      </c>
      <c r="QJ34" s="707">
        <f t="shared" si="347"/>
        <v>0</v>
      </c>
      <c r="QK34" s="590">
        <f t="shared" si="347"/>
        <v>0</v>
      </c>
      <c r="QL34" s="674">
        <f t="shared" si="347"/>
        <v>0</v>
      </c>
      <c r="QM34" s="458">
        <f>SUM(QM32:QM33)</f>
        <v>0</v>
      </c>
      <c r="QN34" s="769">
        <f>SUM(QN32:QN33)</f>
        <v>0</v>
      </c>
      <c r="QO34" s="458">
        <f t="shared" si="347"/>
        <v>0</v>
      </c>
      <c r="QP34" s="674">
        <f t="shared" si="347"/>
        <v>0</v>
      </c>
      <c r="QQ34" s="579">
        <f t="shared" si="347"/>
        <v>0</v>
      </c>
      <c r="QR34" s="761">
        <f t="shared" ref="QR34:QY34" si="348">SUM(QR32:QR33)</f>
        <v>0</v>
      </c>
      <c r="QS34" s="674">
        <f t="shared" si="348"/>
        <v>0</v>
      </c>
      <c r="QT34" s="761">
        <f t="shared" si="348"/>
        <v>0</v>
      </c>
      <c r="QU34" s="674">
        <f t="shared" si="348"/>
        <v>0</v>
      </c>
      <c r="QV34" s="458">
        <f>SUM(QV32:QV33)</f>
        <v>0</v>
      </c>
      <c r="QW34" s="769">
        <f>SUM(QW32:QW33)</f>
        <v>0</v>
      </c>
      <c r="QX34" s="458">
        <f t="shared" si="348"/>
        <v>0</v>
      </c>
      <c r="QY34" s="674">
        <f t="shared" si="348"/>
        <v>0</v>
      </c>
      <c r="QZ34" s="588">
        <f t="shared" si="347"/>
        <v>0</v>
      </c>
      <c r="RA34" s="592">
        <f t="shared" ref="RA34:RH34" si="349">SUM(RA32:RA33)</f>
        <v>0</v>
      </c>
      <c r="RB34" s="674">
        <f t="shared" si="349"/>
        <v>0</v>
      </c>
      <c r="RC34" s="590">
        <f t="shared" si="349"/>
        <v>0</v>
      </c>
      <c r="RD34" s="674">
        <f t="shared" si="349"/>
        <v>0</v>
      </c>
      <c r="RE34" s="592">
        <f>SUM(RE32:RE33)</f>
        <v>0</v>
      </c>
      <c r="RF34" s="674">
        <f>SUM(RF32:RF33)</f>
        <v>0</v>
      </c>
      <c r="RG34" s="458">
        <f t="shared" si="349"/>
        <v>0</v>
      </c>
      <c r="RH34" s="769">
        <f t="shared" si="349"/>
        <v>0</v>
      </c>
      <c r="RI34" s="461">
        <f t="shared" si="332"/>
        <v>0</v>
      </c>
      <c r="RJ34" s="432">
        <f t="shared" si="332"/>
        <v>0</v>
      </c>
      <c r="RK34" s="461">
        <f t="shared" si="332"/>
        <v>1309281647.49</v>
      </c>
      <c r="RL34" s="432">
        <f t="shared" si="332"/>
        <v>1209638111.55</v>
      </c>
      <c r="RM34" s="432">
        <f t="shared" si="332"/>
        <v>0</v>
      </c>
      <c r="RN34" s="432">
        <f t="shared" si="332"/>
        <v>0</v>
      </c>
      <c r="RO34" s="589">
        <f t="shared" si="332"/>
        <v>0</v>
      </c>
      <c r="RP34" s="587">
        <f t="shared" si="332"/>
        <v>0</v>
      </c>
      <c r="RQ34" s="589">
        <f t="shared" si="332"/>
        <v>0</v>
      </c>
      <c r="RR34" s="587">
        <f t="shared" si="332"/>
        <v>0</v>
      </c>
      <c r="RS34" s="432">
        <f t="shared" si="332"/>
        <v>5017223511</v>
      </c>
      <c r="RT34" s="590">
        <f t="shared" si="332"/>
        <v>4962014559</v>
      </c>
      <c r="RU34" s="458">
        <f t="shared" si="332"/>
        <v>55208952</v>
      </c>
      <c r="RV34" s="432">
        <f t="shared" si="332"/>
        <v>3748550260</v>
      </c>
      <c r="RW34" s="581">
        <f t="shared" si="332"/>
        <v>3714833205.5299997</v>
      </c>
      <c r="RX34" s="455">
        <f t="shared" si="332"/>
        <v>33717054.469999999</v>
      </c>
      <c r="RY34" s="432">
        <f t="shared" si="332"/>
        <v>4677697159</v>
      </c>
      <c r="RZ34" s="461">
        <f t="shared" si="332"/>
        <v>3486415545.5299997</v>
      </c>
      <c r="SA34" s="461">
        <f t="shared" si="332"/>
        <v>129536400</v>
      </c>
      <c r="SB34" s="432">
        <f t="shared" si="332"/>
        <v>91100000</v>
      </c>
      <c r="SC34" s="461">
        <f t="shared" si="332"/>
        <v>142091000</v>
      </c>
      <c r="SD34" s="432">
        <f t="shared" si="332"/>
        <v>124627660</v>
      </c>
      <c r="SE34" s="595">
        <f t="shared" si="332"/>
        <v>0</v>
      </c>
      <c r="SF34" s="432">
        <f t="shared" si="332"/>
        <v>0</v>
      </c>
      <c r="SG34" s="593">
        <f t="shared" ref="SG34:UH34" si="350">SUM(SG32:SG33)</f>
        <v>87000</v>
      </c>
      <c r="SH34" s="432">
        <f t="shared" si="350"/>
        <v>85587.5</v>
      </c>
      <c r="SI34" s="593">
        <f t="shared" si="350"/>
        <v>13512810.000000002</v>
      </c>
      <c r="SJ34" s="432">
        <f t="shared" si="350"/>
        <v>7174603.4000000004</v>
      </c>
      <c r="SK34" s="503">
        <f t="shared" si="350"/>
        <v>6731582</v>
      </c>
      <c r="SL34" s="432">
        <f t="shared" si="350"/>
        <v>2383632</v>
      </c>
      <c r="SM34" s="503">
        <f t="shared" si="350"/>
        <v>11625440</v>
      </c>
      <c r="SN34" s="432">
        <f t="shared" si="350"/>
        <v>9194568</v>
      </c>
      <c r="SO34" s="503">
        <f t="shared" si="350"/>
        <v>0</v>
      </c>
      <c r="SP34" s="432">
        <f t="shared" si="350"/>
        <v>0</v>
      </c>
      <c r="SQ34" s="461">
        <f t="shared" si="350"/>
        <v>35942120</v>
      </c>
      <c r="SR34" s="455">
        <f t="shared" si="350"/>
        <v>12690000</v>
      </c>
      <c r="SS34" s="591">
        <f t="shared" si="350"/>
        <v>23252120</v>
      </c>
      <c r="ST34" s="432">
        <f t="shared" si="350"/>
        <v>27568663.57</v>
      </c>
      <c r="SU34" s="461">
        <f t="shared" si="350"/>
        <v>12690000</v>
      </c>
      <c r="SV34" s="432">
        <f t="shared" si="350"/>
        <v>14878663.57</v>
      </c>
      <c r="SW34" s="546">
        <f t="shared" si="350"/>
        <v>1152852491.05</v>
      </c>
      <c r="SX34" s="432">
        <f t="shared" si="350"/>
        <v>706919800.38999999</v>
      </c>
      <c r="SY34" s="336">
        <f t="shared" si="350"/>
        <v>592852491.04999995</v>
      </c>
      <c r="SZ34" s="637">
        <f t="shared" si="350"/>
        <v>78807712</v>
      </c>
      <c r="TA34" s="789">
        <f t="shared" si="350"/>
        <v>202648400</v>
      </c>
      <c r="TB34" s="649">
        <f t="shared" ref="TB34:TC34" si="351">SUM(TB32:TB33)</f>
        <v>35620396.289999999</v>
      </c>
      <c r="TC34" s="674">
        <f t="shared" si="351"/>
        <v>91595400</v>
      </c>
      <c r="TD34" s="649">
        <f t="shared" ref="TD34:TE34" si="352">SUM(TD32:TD33)</f>
        <v>12370582.76</v>
      </c>
      <c r="TE34" s="674">
        <f t="shared" si="352"/>
        <v>31810000</v>
      </c>
      <c r="TF34" s="637">
        <f t="shared" ref="TF34" si="353">SUM(TF32:TF33)</f>
        <v>12370582.76</v>
      </c>
      <c r="TG34" s="637">
        <f t="shared" si="350"/>
        <v>127629417.23999999</v>
      </c>
      <c r="TH34" s="336">
        <f t="shared" si="350"/>
        <v>315389297.36000001</v>
      </c>
      <c r="TI34" s="637">
        <f t="shared" si="350"/>
        <v>54009415.780000001</v>
      </c>
      <c r="TJ34" s="674">
        <f t="shared" si="350"/>
        <v>138881353.33000001</v>
      </c>
      <c r="TK34" s="649">
        <f t="shared" si="350"/>
        <v>26684624.640000001</v>
      </c>
      <c r="TL34" s="674">
        <f t="shared" si="350"/>
        <v>68617677.549999997</v>
      </c>
      <c r="TM34" s="649">
        <f t="shared" ref="TM34:TN34" si="354">SUM(TM32:TM33)</f>
        <v>3208889.01</v>
      </c>
      <c r="TN34" s="674">
        <f t="shared" si="354"/>
        <v>8251410.75</v>
      </c>
      <c r="TO34" s="637">
        <f t="shared" ref="TO34" si="355">SUM(TO32:TO33)</f>
        <v>0</v>
      </c>
      <c r="TP34" s="637">
        <f t="shared" si="350"/>
        <v>15735926.300000001</v>
      </c>
      <c r="TQ34" s="336">
        <f>SUM(TQ32:TQ33)</f>
        <v>0</v>
      </c>
      <c r="TR34" s="672">
        <f t="shared" ref="TR34" si="356">SUM(TR32:TR33)</f>
        <v>0</v>
      </c>
      <c r="TS34" s="336">
        <f>SUM(TS32:TS33)</f>
        <v>0</v>
      </c>
      <c r="TT34" s="672">
        <f t="shared" ref="TT34" si="357">SUM(TT32:TT33)</f>
        <v>0</v>
      </c>
      <c r="TU34" s="336">
        <f>SUM(TU32:TU33)</f>
        <v>0</v>
      </c>
      <c r="TV34" s="672">
        <f>SUM(TV32:TV33)</f>
        <v>0</v>
      </c>
      <c r="TW34" s="336">
        <f>SUM(TW32:TW33)</f>
        <v>0</v>
      </c>
      <c r="TX34" s="672">
        <f>SUM(TX32:TX33)</f>
        <v>0</v>
      </c>
      <c r="TY34" s="587">
        <f t="shared" ref="TY34:UB34" si="358">SUM(TY32:TY33)</f>
        <v>0</v>
      </c>
      <c r="TZ34" s="587">
        <f t="shared" si="358"/>
        <v>0</v>
      </c>
      <c r="UA34" s="759">
        <f t="shared" si="358"/>
        <v>0</v>
      </c>
      <c r="UB34" s="551">
        <f t="shared" si="358"/>
        <v>0</v>
      </c>
      <c r="UC34" s="336">
        <f>SUM(UC32:UC33)</f>
        <v>560000000</v>
      </c>
      <c r="UD34" s="672">
        <f t="shared" si="350"/>
        <v>0</v>
      </c>
      <c r="UE34" s="672">
        <f t="shared" si="350"/>
        <v>560000000</v>
      </c>
      <c r="UF34" s="336">
        <f>SUM(UF32:UF33)</f>
        <v>391530503.02999997</v>
      </c>
      <c r="UG34" s="672">
        <f t="shared" si="350"/>
        <v>0</v>
      </c>
      <c r="UH34" s="672">
        <f t="shared" si="350"/>
        <v>391530503.02999997</v>
      </c>
      <c r="UI34" s="336">
        <f>SUM(UI32:UI33)</f>
        <v>0</v>
      </c>
      <c r="UJ34" s="672">
        <f t="shared" ref="UJ34:VF34" si="359">SUM(UJ32:UJ33)</f>
        <v>0</v>
      </c>
      <c r="UK34" s="672">
        <f t="shared" si="359"/>
        <v>0</v>
      </c>
      <c r="UL34" s="336">
        <f>SUM(UL32:UL33)</f>
        <v>0</v>
      </c>
      <c r="UM34" s="672">
        <f t="shared" si="359"/>
        <v>0</v>
      </c>
      <c r="UN34" s="672">
        <f t="shared" si="359"/>
        <v>0</v>
      </c>
      <c r="UO34" s="587">
        <f t="shared" si="359"/>
        <v>0</v>
      </c>
      <c r="UP34" s="587">
        <f t="shared" si="359"/>
        <v>0</v>
      </c>
      <c r="UQ34" s="759">
        <f t="shared" si="359"/>
        <v>0</v>
      </c>
      <c r="UR34" s="551">
        <f t="shared" si="359"/>
        <v>0</v>
      </c>
      <c r="US34" s="336">
        <f t="shared" si="359"/>
        <v>0</v>
      </c>
      <c r="UT34" s="637">
        <f t="shared" si="359"/>
        <v>0</v>
      </c>
      <c r="UU34" s="674">
        <f t="shared" si="359"/>
        <v>0</v>
      </c>
      <c r="UV34" s="336">
        <f t="shared" si="359"/>
        <v>0</v>
      </c>
      <c r="UW34" s="637">
        <f t="shared" si="359"/>
        <v>0</v>
      </c>
      <c r="UX34" s="674">
        <f t="shared" si="359"/>
        <v>0</v>
      </c>
      <c r="UY34" s="336">
        <f t="shared" si="359"/>
        <v>0</v>
      </c>
      <c r="UZ34" s="674">
        <f t="shared" si="359"/>
        <v>0</v>
      </c>
      <c r="VA34" s="336">
        <f t="shared" si="359"/>
        <v>0</v>
      </c>
      <c r="VB34" s="789">
        <f t="shared" si="359"/>
        <v>0</v>
      </c>
      <c r="VC34" s="336">
        <f t="shared" si="359"/>
        <v>0</v>
      </c>
      <c r="VD34" s="637">
        <f t="shared" si="359"/>
        <v>0</v>
      </c>
      <c r="VE34" s="336">
        <f t="shared" si="359"/>
        <v>0</v>
      </c>
      <c r="VF34" s="637">
        <f t="shared" si="359"/>
        <v>0</v>
      </c>
      <c r="VG34" s="588">
        <f t="shared" ref="VG34:WF34" si="360">SUM(VG32:VG33)</f>
        <v>0</v>
      </c>
      <c r="VH34" s="637">
        <f t="shared" si="360"/>
        <v>0</v>
      </c>
      <c r="VI34" s="588">
        <f t="shared" si="360"/>
        <v>0</v>
      </c>
      <c r="VJ34" s="637">
        <f t="shared" si="360"/>
        <v>0</v>
      </c>
      <c r="VK34" s="588">
        <f t="shared" si="360"/>
        <v>0</v>
      </c>
      <c r="VL34" s="637">
        <f t="shared" si="360"/>
        <v>0</v>
      </c>
      <c r="VM34" s="588">
        <f t="shared" si="360"/>
        <v>0</v>
      </c>
      <c r="VN34" s="637">
        <f t="shared" si="360"/>
        <v>0</v>
      </c>
      <c r="VO34" s="546">
        <f t="shared" si="360"/>
        <v>-161000000</v>
      </c>
      <c r="VP34" s="336">
        <f t="shared" si="360"/>
        <v>-40681000</v>
      </c>
      <c r="VQ34" s="336">
        <f t="shared" si="360"/>
        <v>70000000</v>
      </c>
      <c r="VR34" s="336">
        <f t="shared" si="360"/>
        <v>49819000</v>
      </c>
      <c r="VS34" s="336">
        <f t="shared" si="360"/>
        <v>0</v>
      </c>
      <c r="VT34" s="336">
        <f t="shared" si="360"/>
        <v>0</v>
      </c>
      <c r="VU34" s="587">
        <f t="shared" si="360"/>
        <v>0</v>
      </c>
      <c r="VV34" s="587">
        <f t="shared" si="360"/>
        <v>0</v>
      </c>
      <c r="VW34" s="587">
        <f t="shared" si="360"/>
        <v>0</v>
      </c>
      <c r="VX34" s="587">
        <f t="shared" si="360"/>
        <v>0</v>
      </c>
      <c r="VY34" s="336">
        <f t="shared" si="360"/>
        <v>-231000000</v>
      </c>
      <c r="VZ34" s="336">
        <f t="shared" si="360"/>
        <v>-90500000</v>
      </c>
      <c r="WA34" s="336">
        <f t="shared" si="360"/>
        <v>0</v>
      </c>
      <c r="WB34" s="336">
        <f t="shared" si="360"/>
        <v>0</v>
      </c>
      <c r="WC34" s="587">
        <f t="shared" si="360"/>
        <v>0</v>
      </c>
      <c r="WD34" s="587">
        <f t="shared" si="360"/>
        <v>0</v>
      </c>
      <c r="WE34" s="587">
        <f t="shared" si="360"/>
        <v>0</v>
      </c>
      <c r="WF34" s="587">
        <f t="shared" si="360"/>
        <v>0</v>
      </c>
      <c r="WG34" s="1356">
        <f>'Проверочная  таблица'!VY34+'Проверочная  таблица'!WA34</f>
        <v>-231000000</v>
      </c>
      <c r="WH34" s="1356">
        <f>'Проверочная  таблица'!VZ34+'Проверочная  таблица'!WB34</f>
        <v>-90500000</v>
      </c>
      <c r="WI34" s="1481"/>
    </row>
    <row r="35" spans="1:607" s="329" customFormat="1" ht="25.5" customHeight="1" x14ac:dyDescent="0.3">
      <c r="A35" s="344"/>
      <c r="B35" s="336"/>
      <c r="C35" s="336"/>
      <c r="D35" s="596"/>
      <c r="E35" s="597"/>
      <c r="F35" s="546"/>
      <c r="G35" s="336"/>
      <c r="H35" s="336"/>
      <c r="I35" s="336"/>
      <c r="J35" s="587"/>
      <c r="K35" s="587"/>
      <c r="L35" s="587"/>
      <c r="M35" s="587"/>
      <c r="N35" s="546"/>
      <c r="O35" s="336"/>
      <c r="P35" s="503"/>
      <c r="Q35" s="336"/>
      <c r="R35" s="589"/>
      <c r="S35" s="587"/>
      <c r="T35" s="589"/>
      <c r="U35" s="587"/>
      <c r="V35" s="336"/>
      <c r="W35" s="336"/>
      <c r="X35" s="614"/>
      <c r="Y35" s="458"/>
      <c r="Z35" s="458"/>
      <c r="AA35" s="336"/>
      <c r="AB35" s="336"/>
      <c r="AC35" s="590"/>
      <c r="AD35" s="458"/>
      <c r="AE35" s="589"/>
      <c r="AF35" s="587"/>
      <c r="AG35" s="589"/>
      <c r="AH35" s="587"/>
      <c r="AI35" s="573"/>
      <c r="AJ35" s="336"/>
      <c r="AK35" s="546"/>
      <c r="AL35" s="457"/>
      <c r="AM35" s="457"/>
      <c r="AN35" s="457"/>
      <c r="AO35" s="584"/>
      <c r="AP35" s="458"/>
      <c r="AQ35" s="546"/>
      <c r="AR35" s="458"/>
      <c r="AS35" s="458"/>
      <c r="AT35" s="458"/>
      <c r="AU35" s="458"/>
      <c r="AV35" s="458"/>
      <c r="AW35" s="546"/>
      <c r="AX35" s="458"/>
      <c r="AY35" s="457"/>
      <c r="AZ35" s="458"/>
      <c r="BA35" s="590"/>
      <c r="BB35" s="458"/>
      <c r="BC35" s="546"/>
      <c r="BD35" s="458"/>
      <c r="BE35" s="458"/>
      <c r="BF35" s="458"/>
      <c r="BG35" s="592"/>
      <c r="BH35" s="458"/>
      <c r="BI35" s="935"/>
      <c r="BJ35" s="590"/>
      <c r="BK35" s="577"/>
      <c r="BL35" s="590"/>
      <c r="BM35" s="458"/>
      <c r="BN35" s="614"/>
      <c r="BO35" s="935"/>
      <c r="BP35" s="458"/>
      <c r="BQ35" s="584"/>
      <c r="BR35" s="458"/>
      <c r="BS35" s="592"/>
      <c r="BT35" s="458"/>
      <c r="BU35" s="935"/>
      <c r="BV35" s="590"/>
      <c r="BW35" s="457"/>
      <c r="BX35" s="458"/>
      <c r="BY35" s="592"/>
      <c r="BZ35" s="458"/>
      <c r="CA35" s="588"/>
      <c r="CB35" s="590"/>
      <c r="CC35" s="458"/>
      <c r="CD35" s="590"/>
      <c r="CE35" s="458"/>
      <c r="CF35" s="458"/>
      <c r="CG35" s="503"/>
      <c r="CH35" s="458"/>
      <c r="CI35" s="458"/>
      <c r="CJ35" s="458"/>
      <c r="CK35" s="458"/>
      <c r="CL35" s="336"/>
      <c r="CM35" s="590"/>
      <c r="CN35" s="458"/>
      <c r="CO35" s="458"/>
      <c r="CP35" s="458"/>
      <c r="CQ35" s="503"/>
      <c r="CR35" s="458"/>
      <c r="CS35" s="458"/>
      <c r="CT35" s="458"/>
      <c r="CU35" s="458"/>
      <c r="CV35" s="336"/>
      <c r="CW35" s="458"/>
      <c r="CX35" s="592"/>
      <c r="CY35" s="458"/>
      <c r="CZ35" s="458"/>
      <c r="DA35" s="587"/>
      <c r="DB35" s="587"/>
      <c r="DC35" s="587"/>
      <c r="DD35" s="587"/>
      <c r="DE35" s="503"/>
      <c r="DF35" s="459"/>
      <c r="DG35" s="503"/>
      <c r="DH35" s="459"/>
      <c r="DI35" s="589"/>
      <c r="DJ35" s="576"/>
      <c r="DK35" s="589"/>
      <c r="DL35" s="576"/>
      <c r="DM35" s="580"/>
      <c r="DN35" s="459"/>
      <c r="DO35" s="580"/>
      <c r="DP35" s="459"/>
      <c r="DQ35" s="598"/>
      <c r="DR35" s="576"/>
      <c r="DS35" s="598"/>
      <c r="DT35" s="576"/>
      <c r="DU35" s="580"/>
      <c r="DV35" s="637"/>
      <c r="DW35" s="590"/>
      <c r="DX35" s="674"/>
      <c r="DY35" s="592"/>
      <c r="DZ35" s="674"/>
      <c r="EA35" s="760"/>
      <c r="EB35" s="637"/>
      <c r="EC35" s="459"/>
      <c r="ED35" s="760"/>
      <c r="EE35" s="590"/>
      <c r="EF35" s="674"/>
      <c r="EG35" s="590"/>
      <c r="EH35" s="674"/>
      <c r="EI35" s="761"/>
      <c r="EJ35" s="649"/>
      <c r="EK35" s="459"/>
      <c r="EL35" s="649"/>
      <c r="EM35" s="459"/>
      <c r="EN35" s="649"/>
      <c r="EO35" s="660"/>
      <c r="EP35" s="660"/>
      <c r="EQ35" s="660"/>
      <c r="ER35" s="660"/>
      <c r="ES35" s="573"/>
      <c r="ET35" s="458"/>
      <c r="EU35" s="769"/>
      <c r="EV35" s="459"/>
      <c r="EW35" s="592"/>
      <c r="EX35" s="674"/>
      <c r="EY35" s="573"/>
      <c r="EZ35" s="458"/>
      <c r="FA35" s="769"/>
      <c r="FB35" s="459"/>
      <c r="FC35" s="592"/>
      <c r="FD35" s="674"/>
      <c r="FE35" s="546"/>
      <c r="FF35" s="590"/>
      <c r="FG35" s="674"/>
      <c r="FH35" s="590"/>
      <c r="FI35" s="674"/>
      <c r="FJ35" s="546"/>
      <c r="FK35" s="590"/>
      <c r="FL35" s="674"/>
      <c r="FM35" s="590"/>
      <c r="FN35" s="674"/>
      <c r="FO35" s="573"/>
      <c r="FP35" s="458"/>
      <c r="FQ35" s="769"/>
      <c r="FR35" s="459"/>
      <c r="FS35" s="592"/>
      <c r="FT35" s="674"/>
      <c r="FU35" s="573"/>
      <c r="FV35" s="637"/>
      <c r="FW35" s="674"/>
      <c r="FX35" s="459"/>
      <c r="FY35" s="649"/>
      <c r="FZ35" s="674"/>
      <c r="GA35" s="580"/>
      <c r="GB35" s="649"/>
      <c r="GC35" s="674"/>
      <c r="GD35" s="459"/>
      <c r="GE35" s="637"/>
      <c r="GF35" s="674"/>
      <c r="GG35" s="573"/>
      <c r="GH35" s="637"/>
      <c r="GI35" s="674"/>
      <c r="GJ35" s="459"/>
      <c r="GK35" s="637"/>
      <c r="GL35" s="674"/>
      <c r="GM35" s="658"/>
      <c r="GN35" s="637"/>
      <c r="GO35" s="674"/>
      <c r="GP35" s="660"/>
      <c r="GQ35" s="637"/>
      <c r="GR35" s="674"/>
      <c r="GS35" s="660"/>
      <c r="GT35" s="637"/>
      <c r="GU35" s="674"/>
      <c r="GV35" s="660"/>
      <c r="GW35" s="637"/>
      <c r="GX35" s="674"/>
      <c r="GY35" s="573"/>
      <c r="GZ35" s="458"/>
      <c r="HA35" s="707"/>
      <c r="HB35" s="459"/>
      <c r="HC35" s="458"/>
      <c r="HD35" s="707"/>
      <c r="HE35" s="336"/>
      <c r="HF35" s="458"/>
      <c r="HG35" s="707"/>
      <c r="HH35" s="637"/>
      <c r="HI35" s="674"/>
      <c r="HJ35" s="637"/>
      <c r="HK35" s="789"/>
      <c r="HL35" s="637"/>
      <c r="HM35" s="789"/>
      <c r="HN35" s="336"/>
      <c r="HO35" s="458"/>
      <c r="HP35" s="707"/>
      <c r="HQ35" s="458"/>
      <c r="HR35" s="769"/>
      <c r="HS35" s="458"/>
      <c r="HT35" s="707"/>
      <c r="HU35" s="458"/>
      <c r="HV35" s="707"/>
      <c r="HW35" s="336"/>
      <c r="HX35" s="458"/>
      <c r="HY35" s="707"/>
      <c r="HZ35" s="637"/>
      <c r="IA35" s="674"/>
      <c r="IB35" s="637"/>
      <c r="IC35" s="769"/>
      <c r="ID35" s="458"/>
      <c r="IE35" s="674"/>
      <c r="IF35" s="501"/>
      <c r="IG35" s="458"/>
      <c r="IH35" s="707"/>
      <c r="II35" s="592"/>
      <c r="IJ35" s="674"/>
      <c r="IK35" s="592"/>
      <c r="IL35" s="674"/>
      <c r="IM35" s="458"/>
      <c r="IN35" s="707"/>
      <c r="IO35" s="587"/>
      <c r="IP35" s="458"/>
      <c r="IQ35" s="707"/>
      <c r="IR35" s="637"/>
      <c r="IS35" s="674"/>
      <c r="IT35" s="637"/>
      <c r="IU35" s="674"/>
      <c r="IV35" s="637"/>
      <c r="IW35" s="674"/>
      <c r="IX35" s="587"/>
      <c r="IY35" s="458"/>
      <c r="IZ35" s="707"/>
      <c r="JA35" s="637"/>
      <c r="JB35" s="674"/>
      <c r="JC35" s="637"/>
      <c r="JD35" s="789"/>
      <c r="JE35" s="637"/>
      <c r="JF35" s="769"/>
      <c r="JG35" s="587"/>
      <c r="JH35" s="458"/>
      <c r="JI35" s="707"/>
      <c r="JJ35" s="637"/>
      <c r="JK35" s="674"/>
      <c r="JL35" s="637"/>
      <c r="JM35" s="707"/>
      <c r="JN35" s="458"/>
      <c r="JO35" s="674"/>
      <c r="JP35" s="762"/>
      <c r="JQ35" s="458"/>
      <c r="JR35" s="707"/>
      <c r="JS35" s="637"/>
      <c r="JT35" s="674"/>
      <c r="JU35" s="637"/>
      <c r="JV35" s="674"/>
      <c r="JW35" s="458"/>
      <c r="JX35" s="707"/>
      <c r="JY35" s="336"/>
      <c r="JZ35" s="458"/>
      <c r="KA35" s="674"/>
      <c r="KB35" s="458"/>
      <c r="KC35" s="674"/>
      <c r="KD35" s="336"/>
      <c r="KE35" s="590"/>
      <c r="KF35" s="674"/>
      <c r="KG35" s="590"/>
      <c r="KH35" s="674"/>
      <c r="KI35" s="336"/>
      <c r="KJ35" s="590"/>
      <c r="KK35" s="457"/>
      <c r="KL35" s="674"/>
      <c r="KM35" s="457"/>
      <c r="KN35" s="674"/>
      <c r="KO35" s="336"/>
      <c r="KP35" s="760"/>
      <c r="KQ35" s="458"/>
      <c r="KR35" s="674"/>
      <c r="KS35" s="590"/>
      <c r="KT35" s="674"/>
      <c r="KU35" s="336"/>
      <c r="KV35" s="458"/>
      <c r="KW35" s="458"/>
      <c r="KX35" s="674"/>
      <c r="KY35" s="336"/>
      <c r="KZ35" s="637"/>
      <c r="LA35" s="637"/>
      <c r="LB35" s="674"/>
      <c r="LC35" s="588"/>
      <c r="LD35" s="588"/>
      <c r="LE35" s="935"/>
      <c r="LF35" s="588"/>
      <c r="LG35" s="459"/>
      <c r="LH35" s="637"/>
      <c r="LI35" s="674"/>
      <c r="LJ35" s="649"/>
      <c r="LK35" s="674"/>
      <c r="LL35" s="637"/>
      <c r="LM35" s="789"/>
      <c r="LN35" s="459"/>
      <c r="LO35" s="637"/>
      <c r="LP35" s="674"/>
      <c r="LQ35" s="637"/>
      <c r="LR35" s="789"/>
      <c r="LS35" s="637"/>
      <c r="LT35" s="789"/>
      <c r="LU35" s="459"/>
      <c r="LV35" s="637"/>
      <c r="LW35" s="674"/>
      <c r="LX35" s="637"/>
      <c r="LY35" s="674"/>
      <c r="LZ35" s="501"/>
      <c r="MA35" s="637"/>
      <c r="MB35" s="789"/>
      <c r="MC35" s="637"/>
      <c r="MD35" s="674"/>
      <c r="ME35" s="759"/>
      <c r="MF35" s="649"/>
      <c r="MG35" s="674"/>
      <c r="MH35" s="769"/>
      <c r="MI35" s="637"/>
      <c r="MJ35" s="587"/>
      <c r="MK35" s="761"/>
      <c r="ML35" s="674"/>
      <c r="MM35" s="769"/>
      <c r="MN35" s="637"/>
      <c r="MO35" s="762"/>
      <c r="MP35" s="649"/>
      <c r="MQ35" s="674"/>
      <c r="MR35" s="769"/>
      <c r="MS35" s="637"/>
      <c r="MT35" s="587"/>
      <c r="MU35" s="637"/>
      <c r="MV35" s="674"/>
      <c r="MW35" s="789"/>
      <c r="MX35" s="637"/>
      <c r="MY35" s="503"/>
      <c r="MZ35" s="458"/>
      <c r="NA35" s="336"/>
      <c r="NB35" s="458"/>
      <c r="NC35" s="546"/>
      <c r="ND35" s="590"/>
      <c r="NE35" s="674"/>
      <c r="NF35" s="546"/>
      <c r="NG35" s="458"/>
      <c r="NH35" s="674"/>
      <c r="NI35" s="935"/>
      <c r="NJ35" s="458"/>
      <c r="NK35" s="769"/>
      <c r="NL35" s="935"/>
      <c r="NM35" s="458"/>
      <c r="NN35" s="769"/>
      <c r="NO35" s="935"/>
      <c r="NP35" s="458"/>
      <c r="NQ35" s="769"/>
      <c r="NR35" s="935"/>
      <c r="NS35" s="458"/>
      <c r="NT35" s="707"/>
      <c r="NU35" s="336"/>
      <c r="NV35" s="457"/>
      <c r="NW35" s="769"/>
      <c r="NX35" s="336"/>
      <c r="NY35" s="590"/>
      <c r="NZ35" s="674"/>
      <c r="OA35" s="459"/>
      <c r="OD35" s="459"/>
      <c r="OG35" s="576"/>
      <c r="OJ35" s="576"/>
      <c r="OM35" s="576"/>
      <c r="OP35" s="576"/>
      <c r="OS35" s="546"/>
      <c r="OT35" s="457"/>
      <c r="OU35" s="1166"/>
      <c r="OV35" s="458"/>
      <c r="OW35" s="707"/>
      <c r="OX35" s="458"/>
      <c r="OY35" s="680"/>
      <c r="OZ35" s="546"/>
      <c r="PA35" s="590"/>
      <c r="PB35" s="674"/>
      <c r="PC35" s="458"/>
      <c r="PD35" s="674"/>
      <c r="PE35" s="590"/>
      <c r="PF35" s="674"/>
      <c r="PG35" s="546"/>
      <c r="PH35" s="637"/>
      <c r="PI35" s="769"/>
      <c r="PJ35" s="458"/>
      <c r="PK35" s="674"/>
      <c r="PL35" s="458"/>
      <c r="PM35" s="707"/>
      <c r="PN35" s="458"/>
      <c r="PO35" s="748"/>
      <c r="PP35" s="336"/>
      <c r="PQ35" s="458"/>
      <c r="PR35" s="707"/>
      <c r="PS35" s="590"/>
      <c r="PT35" s="674"/>
      <c r="PU35" s="458"/>
      <c r="PV35" s="769"/>
      <c r="PW35" s="458"/>
      <c r="PX35" s="674"/>
      <c r="PY35" s="935"/>
      <c r="PZ35" s="458"/>
      <c r="QA35" s="674"/>
      <c r="QB35" s="590"/>
      <c r="QC35" s="674"/>
      <c r="QD35" s="590"/>
      <c r="QE35" s="674"/>
      <c r="QF35" s="458"/>
      <c r="QG35" s="674"/>
      <c r="QH35" s="935"/>
      <c r="QI35" s="637"/>
      <c r="QJ35" s="707"/>
      <c r="QK35" s="590"/>
      <c r="QL35" s="674"/>
      <c r="QM35" s="458"/>
      <c r="QN35" s="769"/>
      <c r="QO35" s="458"/>
      <c r="QP35" s="674"/>
      <c r="QQ35" s="588"/>
      <c r="QR35" s="761"/>
      <c r="QS35" s="674"/>
      <c r="QT35" s="761"/>
      <c r="QU35" s="674"/>
      <c r="QV35" s="458"/>
      <c r="QW35" s="769"/>
      <c r="QX35" s="458"/>
      <c r="QY35" s="674"/>
      <c r="QZ35" s="588"/>
      <c r="RA35" s="592"/>
      <c r="RB35" s="674"/>
      <c r="RC35" s="590"/>
      <c r="RD35" s="674"/>
      <c r="RE35" s="592"/>
      <c r="RF35" s="674"/>
      <c r="RG35" s="458"/>
      <c r="RH35" s="769"/>
      <c r="RI35" s="573"/>
      <c r="RJ35" s="459"/>
      <c r="RK35" s="573"/>
      <c r="RL35" s="459"/>
      <c r="RM35" s="459"/>
      <c r="RN35" s="336"/>
      <c r="RO35" s="589"/>
      <c r="RP35" s="587"/>
      <c r="RQ35" s="589"/>
      <c r="RR35" s="587"/>
      <c r="RS35" s="459"/>
      <c r="RT35" s="590"/>
      <c r="RU35" s="458"/>
      <c r="RV35" s="459"/>
      <c r="RW35" s="590"/>
      <c r="RX35" s="458"/>
      <c r="RY35" s="580"/>
      <c r="RZ35" s="336"/>
      <c r="SA35" s="580"/>
      <c r="SB35" s="336"/>
      <c r="SC35" s="573"/>
      <c r="SD35" s="336"/>
      <c r="SE35" s="580"/>
      <c r="SF35" s="336"/>
      <c r="SG35" s="580"/>
      <c r="SH35" s="336"/>
      <c r="SI35" s="503"/>
      <c r="SJ35" s="336"/>
      <c r="SK35" s="501"/>
      <c r="SL35" s="501"/>
      <c r="SM35" s="501"/>
      <c r="SN35" s="501"/>
      <c r="SO35" s="336"/>
      <c r="SP35" s="501"/>
      <c r="SQ35" s="336"/>
      <c r="SR35" s="592"/>
      <c r="SS35" s="458"/>
      <c r="ST35" s="459"/>
      <c r="SU35" s="546"/>
      <c r="SV35" s="336"/>
      <c r="SW35" s="336"/>
      <c r="SX35" s="501"/>
      <c r="SY35" s="336"/>
      <c r="SZ35" s="637"/>
      <c r="TA35" s="789"/>
      <c r="TB35" s="649"/>
      <c r="TC35" s="674"/>
      <c r="TD35" s="649"/>
      <c r="TE35" s="674"/>
      <c r="TF35" s="637"/>
      <c r="TG35" s="637"/>
      <c r="TH35" s="336"/>
      <c r="TI35" s="637"/>
      <c r="TJ35" s="674"/>
      <c r="TK35" s="649"/>
      <c r="TL35" s="674"/>
      <c r="TM35" s="649"/>
      <c r="TN35" s="674"/>
      <c r="TO35" s="637"/>
      <c r="TP35" s="637"/>
      <c r="TQ35" s="336"/>
      <c r="TR35" s="674"/>
      <c r="TS35" s="336"/>
      <c r="TT35" s="674"/>
      <c r="TU35" s="336"/>
      <c r="TV35" s="674"/>
      <c r="TW35" s="336"/>
      <c r="TX35" s="674"/>
      <c r="TY35" s="587"/>
      <c r="TZ35" s="587"/>
      <c r="UA35" s="587"/>
      <c r="UB35" s="587"/>
      <c r="UC35" s="336"/>
      <c r="UD35" s="674"/>
      <c r="UE35" s="674"/>
      <c r="UF35" s="336"/>
      <c r="UG35" s="674"/>
      <c r="UH35" s="674"/>
      <c r="UI35" s="336"/>
      <c r="UJ35" s="674"/>
      <c r="UK35" s="674"/>
      <c r="UL35" s="336"/>
      <c r="UM35" s="674"/>
      <c r="UN35" s="674"/>
      <c r="UO35" s="587"/>
      <c r="UP35" s="587"/>
      <c r="UQ35" s="587"/>
      <c r="UR35" s="587"/>
      <c r="US35" s="336"/>
      <c r="UT35" s="637"/>
      <c r="UU35" s="674"/>
      <c r="UV35" s="336"/>
      <c r="UW35" s="637"/>
      <c r="UX35" s="674"/>
      <c r="UY35" s="336"/>
      <c r="UZ35" s="674"/>
      <c r="VA35" s="336"/>
      <c r="VB35" s="789"/>
      <c r="VC35" s="336"/>
      <c r="VD35" s="637"/>
      <c r="VE35" s="336"/>
      <c r="VF35" s="637"/>
      <c r="VG35" s="588"/>
      <c r="VH35" s="637"/>
      <c r="VI35" s="588"/>
      <c r="VJ35" s="637"/>
      <c r="VK35" s="588"/>
      <c r="VL35" s="637"/>
      <c r="VM35" s="588"/>
      <c r="VN35" s="637"/>
      <c r="VO35" s="546"/>
      <c r="VP35" s="336"/>
      <c r="VQ35" s="336"/>
      <c r="VR35" s="336"/>
      <c r="VS35" s="336"/>
      <c r="VT35" s="336"/>
      <c r="VU35" s="587"/>
      <c r="VV35" s="587"/>
      <c r="VW35" s="587"/>
      <c r="VX35" s="587"/>
      <c r="VY35" s="336"/>
      <c r="VZ35" s="336"/>
      <c r="WA35" s="336"/>
      <c r="WB35" s="336"/>
      <c r="WC35" s="587"/>
      <c r="WD35" s="587"/>
      <c r="WE35" s="587"/>
      <c r="WF35" s="587"/>
      <c r="WG35" s="1356">
        <f>'Проверочная  таблица'!VY35+'Проверочная  таблица'!WA35</f>
        <v>0</v>
      </c>
      <c r="WH35" s="1356">
        <f>'Проверочная  таблица'!VZ35+'Проверочная  таблица'!WB35</f>
        <v>0</v>
      </c>
      <c r="WI35" s="1481"/>
    </row>
    <row r="36" spans="1:607" s="329" customFormat="1" ht="25.5" customHeight="1" thickBot="1" x14ac:dyDescent="0.35">
      <c r="A36" s="345"/>
      <c r="B36" s="335"/>
      <c r="C36" s="335"/>
      <c r="D36" s="599"/>
      <c r="E36" s="600"/>
      <c r="F36" s="547"/>
      <c r="G36" s="335"/>
      <c r="H36" s="335"/>
      <c r="I36" s="335"/>
      <c r="J36" s="550"/>
      <c r="K36" s="550"/>
      <c r="L36" s="550"/>
      <c r="M36" s="550"/>
      <c r="N36" s="547"/>
      <c r="O36" s="335"/>
      <c r="P36" s="502"/>
      <c r="Q36" s="335"/>
      <c r="R36" s="575"/>
      <c r="S36" s="550"/>
      <c r="T36" s="575"/>
      <c r="U36" s="550"/>
      <c r="V36" s="335"/>
      <c r="W36" s="335"/>
      <c r="X36" s="554"/>
      <c r="Y36" s="460"/>
      <c r="Z36" s="460"/>
      <c r="AA36" s="335"/>
      <c r="AB36" s="335"/>
      <c r="AC36" s="548"/>
      <c r="AD36" s="460"/>
      <c r="AE36" s="575"/>
      <c r="AF36" s="550"/>
      <c r="AG36" s="575"/>
      <c r="AH36" s="550"/>
      <c r="AI36" s="573"/>
      <c r="AJ36" s="335"/>
      <c r="AK36" s="547"/>
      <c r="AL36" s="460"/>
      <c r="AM36" s="460"/>
      <c r="AN36" s="553"/>
      <c r="AO36" s="549"/>
      <c r="AP36" s="460"/>
      <c r="AQ36" s="547"/>
      <c r="AR36" s="460"/>
      <c r="AS36" s="460"/>
      <c r="AT36" s="460"/>
      <c r="AU36" s="460"/>
      <c r="AV36" s="460"/>
      <c r="AW36" s="547"/>
      <c r="AX36" s="460"/>
      <c r="AY36" s="460"/>
      <c r="AZ36" s="460"/>
      <c r="BA36" s="548"/>
      <c r="BB36" s="460"/>
      <c r="BC36" s="547"/>
      <c r="BD36" s="460"/>
      <c r="BE36" s="460"/>
      <c r="BF36" s="460"/>
      <c r="BG36" s="549"/>
      <c r="BH36" s="460"/>
      <c r="BI36" s="638"/>
      <c r="BJ36" s="548"/>
      <c r="BK36" s="548"/>
      <c r="BL36" s="548"/>
      <c r="BM36" s="460"/>
      <c r="BN36" s="941"/>
      <c r="BO36" s="638"/>
      <c r="BP36" s="460"/>
      <c r="BQ36" s="549"/>
      <c r="BR36" s="460"/>
      <c r="BS36" s="549"/>
      <c r="BT36" s="460"/>
      <c r="BU36" s="638"/>
      <c r="BV36" s="548"/>
      <c r="BW36" s="460"/>
      <c r="BX36" s="460"/>
      <c r="BY36" s="549"/>
      <c r="BZ36" s="460"/>
      <c r="CA36" s="578"/>
      <c r="CB36" s="548"/>
      <c r="CC36" s="460"/>
      <c r="CD36" s="548"/>
      <c r="CE36" s="460"/>
      <c r="CF36" s="460"/>
      <c r="CG36" s="502"/>
      <c r="CH36" s="460"/>
      <c r="CI36" s="460"/>
      <c r="CJ36" s="460"/>
      <c r="CK36" s="460"/>
      <c r="CL36" s="335"/>
      <c r="CM36" s="548"/>
      <c r="CN36" s="460"/>
      <c r="CO36" s="460"/>
      <c r="CP36" s="460"/>
      <c r="CQ36" s="502"/>
      <c r="CR36" s="460"/>
      <c r="CS36" s="460"/>
      <c r="CT36" s="460"/>
      <c r="CU36" s="460"/>
      <c r="CV36" s="335"/>
      <c r="CW36" s="460"/>
      <c r="CX36" s="549"/>
      <c r="CY36" s="460"/>
      <c r="CZ36" s="460"/>
      <c r="DA36" s="550"/>
      <c r="DB36" s="550"/>
      <c r="DC36" s="550"/>
      <c r="DD36" s="550"/>
      <c r="DE36" s="502"/>
      <c r="DF36" s="335"/>
      <c r="DG36" s="502"/>
      <c r="DH36" s="335"/>
      <c r="DI36" s="575"/>
      <c r="DJ36" s="550"/>
      <c r="DK36" s="575"/>
      <c r="DL36" s="550"/>
      <c r="DM36" s="502"/>
      <c r="DN36" s="335"/>
      <c r="DO36" s="502"/>
      <c r="DP36" s="335"/>
      <c r="DQ36" s="575"/>
      <c r="DR36" s="550"/>
      <c r="DS36" s="575"/>
      <c r="DT36" s="550"/>
      <c r="DU36" s="502"/>
      <c r="DV36" s="553"/>
      <c r="DW36" s="548"/>
      <c r="DX36" s="675"/>
      <c r="DY36" s="549"/>
      <c r="DZ36" s="675"/>
      <c r="EA36" s="554"/>
      <c r="EB36" s="553"/>
      <c r="EC36" s="335"/>
      <c r="ED36" s="554"/>
      <c r="EE36" s="548"/>
      <c r="EF36" s="675"/>
      <c r="EG36" s="548"/>
      <c r="EH36" s="675"/>
      <c r="EI36" s="643"/>
      <c r="EJ36" s="555"/>
      <c r="EK36" s="335"/>
      <c r="EL36" s="555"/>
      <c r="EM36" s="335"/>
      <c r="EN36" s="555"/>
      <c r="EO36" s="578"/>
      <c r="EP36" s="578"/>
      <c r="EQ36" s="578"/>
      <c r="ER36" s="578"/>
      <c r="ES36" s="547"/>
      <c r="ET36" s="460"/>
      <c r="EU36" s="766"/>
      <c r="EV36" s="335"/>
      <c r="EW36" s="549"/>
      <c r="EX36" s="675"/>
      <c r="EY36" s="547"/>
      <c r="EZ36" s="460"/>
      <c r="FA36" s="766"/>
      <c r="FB36" s="335"/>
      <c r="FC36" s="549"/>
      <c r="FD36" s="675"/>
      <c r="FE36" s="547"/>
      <c r="FF36" s="548"/>
      <c r="FG36" s="675"/>
      <c r="FH36" s="548"/>
      <c r="FI36" s="675"/>
      <c r="FJ36" s="547"/>
      <c r="FK36" s="548"/>
      <c r="FL36" s="675"/>
      <c r="FM36" s="548"/>
      <c r="FN36" s="675"/>
      <c r="FO36" s="547"/>
      <c r="FP36" s="460"/>
      <c r="FQ36" s="766"/>
      <c r="FR36" s="335"/>
      <c r="FS36" s="549"/>
      <c r="FT36" s="675"/>
      <c r="FU36" s="547"/>
      <c r="FV36" s="553"/>
      <c r="FW36" s="675"/>
      <c r="FX36" s="335"/>
      <c r="FY36" s="555"/>
      <c r="FZ36" s="675"/>
      <c r="GA36" s="502"/>
      <c r="GB36" s="555"/>
      <c r="GC36" s="675"/>
      <c r="GD36" s="335"/>
      <c r="GE36" s="553"/>
      <c r="GF36" s="675"/>
      <c r="GG36" s="547"/>
      <c r="GH36" s="553"/>
      <c r="GI36" s="675"/>
      <c r="GJ36" s="335"/>
      <c r="GK36" s="553"/>
      <c r="GL36" s="675"/>
      <c r="GM36" s="638"/>
      <c r="GN36" s="553"/>
      <c r="GO36" s="675"/>
      <c r="GP36" s="578"/>
      <c r="GQ36" s="553"/>
      <c r="GR36" s="675"/>
      <c r="GS36" s="578"/>
      <c r="GT36" s="553"/>
      <c r="GU36" s="675"/>
      <c r="GV36" s="578"/>
      <c r="GW36" s="553"/>
      <c r="GX36" s="675"/>
      <c r="GY36" s="547"/>
      <c r="GZ36" s="460"/>
      <c r="HA36" s="705"/>
      <c r="HB36" s="335"/>
      <c r="HC36" s="460"/>
      <c r="HD36" s="705"/>
      <c r="HE36" s="335"/>
      <c r="HF36" s="460"/>
      <c r="HG36" s="705"/>
      <c r="HH36" s="553"/>
      <c r="HI36" s="675"/>
      <c r="HJ36" s="553"/>
      <c r="HK36" s="702"/>
      <c r="HL36" s="553"/>
      <c r="HM36" s="702"/>
      <c r="HN36" s="335"/>
      <c r="HO36" s="460"/>
      <c r="HP36" s="705"/>
      <c r="HQ36" s="460"/>
      <c r="HR36" s="766"/>
      <c r="HS36" s="460"/>
      <c r="HT36" s="705"/>
      <c r="HU36" s="460"/>
      <c r="HV36" s="705"/>
      <c r="HW36" s="335"/>
      <c r="HX36" s="460"/>
      <c r="HY36" s="705"/>
      <c r="HZ36" s="553"/>
      <c r="IA36" s="675"/>
      <c r="IB36" s="553"/>
      <c r="IC36" s="766"/>
      <c r="ID36" s="460"/>
      <c r="IE36" s="675"/>
      <c r="IF36" s="500"/>
      <c r="IG36" s="460"/>
      <c r="IH36" s="705"/>
      <c r="II36" s="549"/>
      <c r="IJ36" s="675"/>
      <c r="IK36" s="549"/>
      <c r="IL36" s="675"/>
      <c r="IM36" s="460"/>
      <c r="IN36" s="705"/>
      <c r="IO36" s="550"/>
      <c r="IP36" s="460"/>
      <c r="IQ36" s="705"/>
      <c r="IR36" s="553"/>
      <c r="IS36" s="675"/>
      <c r="IT36" s="553"/>
      <c r="IU36" s="675"/>
      <c r="IV36" s="553"/>
      <c r="IW36" s="675"/>
      <c r="IX36" s="550"/>
      <c r="IY36" s="460"/>
      <c r="IZ36" s="705"/>
      <c r="JA36" s="553"/>
      <c r="JB36" s="675"/>
      <c r="JC36" s="553"/>
      <c r="JD36" s="702"/>
      <c r="JE36" s="553"/>
      <c r="JF36" s="766"/>
      <c r="JG36" s="550"/>
      <c r="JH36" s="460"/>
      <c r="JI36" s="705"/>
      <c r="JJ36" s="553"/>
      <c r="JK36" s="675"/>
      <c r="JL36" s="553"/>
      <c r="JM36" s="705"/>
      <c r="JN36" s="460"/>
      <c r="JO36" s="675"/>
      <c r="JP36" s="780"/>
      <c r="JQ36" s="460"/>
      <c r="JR36" s="705"/>
      <c r="JS36" s="553"/>
      <c r="JT36" s="675"/>
      <c r="JU36" s="553"/>
      <c r="JV36" s="675"/>
      <c r="JW36" s="460"/>
      <c r="JX36" s="705"/>
      <c r="JY36" s="335"/>
      <c r="JZ36" s="460"/>
      <c r="KA36" s="675"/>
      <c r="KB36" s="460"/>
      <c r="KC36" s="675"/>
      <c r="KD36" s="335"/>
      <c r="KE36" s="548"/>
      <c r="KF36" s="675"/>
      <c r="KG36" s="548"/>
      <c r="KH36" s="675"/>
      <c r="KI36" s="335"/>
      <c r="KJ36" s="548"/>
      <c r="KK36" s="460"/>
      <c r="KL36" s="675"/>
      <c r="KM36" s="460"/>
      <c r="KN36" s="675"/>
      <c r="KO36" s="335"/>
      <c r="KP36" s="554"/>
      <c r="KQ36" s="460"/>
      <c r="KR36" s="675"/>
      <c r="KS36" s="548"/>
      <c r="KT36" s="675"/>
      <c r="KU36" s="335"/>
      <c r="KV36" s="460"/>
      <c r="KW36" s="460"/>
      <c r="KX36" s="675"/>
      <c r="KY36" s="335"/>
      <c r="KZ36" s="553"/>
      <c r="LA36" s="553"/>
      <c r="LB36" s="675"/>
      <c r="LC36" s="578"/>
      <c r="LD36" s="578"/>
      <c r="LE36" s="638"/>
      <c r="LF36" s="578"/>
      <c r="LG36" s="335"/>
      <c r="LH36" s="553"/>
      <c r="LI36" s="675"/>
      <c r="LJ36" s="555"/>
      <c r="LK36" s="675"/>
      <c r="LL36" s="553"/>
      <c r="LM36" s="702"/>
      <c r="LN36" s="335"/>
      <c r="LO36" s="553"/>
      <c r="LP36" s="675"/>
      <c r="LQ36" s="553"/>
      <c r="LR36" s="702"/>
      <c r="LS36" s="553"/>
      <c r="LT36" s="702"/>
      <c r="LU36" s="335"/>
      <c r="LV36" s="553"/>
      <c r="LW36" s="675"/>
      <c r="LX36" s="553"/>
      <c r="LY36" s="675"/>
      <c r="LZ36" s="500"/>
      <c r="MA36" s="553"/>
      <c r="MB36" s="702"/>
      <c r="MC36" s="553"/>
      <c r="MD36" s="675"/>
      <c r="ME36" s="552"/>
      <c r="MF36" s="555"/>
      <c r="MG36" s="675"/>
      <c r="MH36" s="766"/>
      <c r="MI36" s="553"/>
      <c r="MJ36" s="550"/>
      <c r="MK36" s="643"/>
      <c r="ML36" s="675"/>
      <c r="MM36" s="766"/>
      <c r="MN36" s="553"/>
      <c r="MO36" s="780"/>
      <c r="MP36" s="555"/>
      <c r="MQ36" s="675"/>
      <c r="MR36" s="766"/>
      <c r="MS36" s="553"/>
      <c r="MT36" s="550"/>
      <c r="MU36" s="553"/>
      <c r="MV36" s="675"/>
      <c r="MW36" s="702"/>
      <c r="MX36" s="553"/>
      <c r="MY36" s="502"/>
      <c r="MZ36" s="460"/>
      <c r="NA36" s="335"/>
      <c r="NB36" s="460"/>
      <c r="NC36" s="547"/>
      <c r="ND36" s="548"/>
      <c r="NE36" s="675"/>
      <c r="NF36" s="547"/>
      <c r="NG36" s="460"/>
      <c r="NH36" s="675"/>
      <c r="NI36" s="638"/>
      <c r="NJ36" s="460"/>
      <c r="NK36" s="766"/>
      <c r="NL36" s="638"/>
      <c r="NM36" s="460"/>
      <c r="NN36" s="766"/>
      <c r="NO36" s="638"/>
      <c r="NP36" s="460"/>
      <c r="NQ36" s="766"/>
      <c r="NR36" s="638"/>
      <c r="NS36" s="460"/>
      <c r="NT36" s="705"/>
      <c r="NU36" s="335"/>
      <c r="NV36" s="460"/>
      <c r="NW36" s="766"/>
      <c r="NX36" s="335"/>
      <c r="NY36" s="548"/>
      <c r="NZ36" s="675"/>
      <c r="OA36" s="335"/>
      <c r="OD36" s="335"/>
      <c r="OG36" s="550"/>
      <c r="OJ36" s="550"/>
      <c r="OM36" s="550"/>
      <c r="OP36" s="550"/>
      <c r="OS36" s="547"/>
      <c r="OT36" s="460"/>
      <c r="OU36" s="702"/>
      <c r="OV36" s="460"/>
      <c r="OW36" s="705"/>
      <c r="OX36" s="460"/>
      <c r="OY36" s="675"/>
      <c r="OZ36" s="547"/>
      <c r="PA36" s="548"/>
      <c r="PB36" s="675"/>
      <c r="PC36" s="460"/>
      <c r="PD36" s="675"/>
      <c r="PE36" s="548"/>
      <c r="PF36" s="675"/>
      <c r="PG36" s="547"/>
      <c r="PH36" s="553"/>
      <c r="PI36" s="766"/>
      <c r="PJ36" s="460"/>
      <c r="PK36" s="675"/>
      <c r="PL36" s="460"/>
      <c r="PM36" s="705"/>
      <c r="PN36" s="460"/>
      <c r="PO36" s="705"/>
      <c r="PP36" s="335"/>
      <c r="PQ36" s="460"/>
      <c r="PR36" s="705"/>
      <c r="PS36" s="548"/>
      <c r="PT36" s="675"/>
      <c r="PU36" s="460"/>
      <c r="PV36" s="766"/>
      <c r="PW36" s="460"/>
      <c r="PX36" s="675"/>
      <c r="PY36" s="638"/>
      <c r="PZ36" s="460"/>
      <c r="QA36" s="675"/>
      <c r="QB36" s="548"/>
      <c r="QC36" s="675"/>
      <c r="QD36" s="548"/>
      <c r="QE36" s="675"/>
      <c r="QF36" s="460"/>
      <c r="QG36" s="675"/>
      <c r="QH36" s="638"/>
      <c r="QI36" s="553"/>
      <c r="QJ36" s="705"/>
      <c r="QK36" s="548"/>
      <c r="QL36" s="675"/>
      <c r="QM36" s="460"/>
      <c r="QN36" s="766"/>
      <c r="QO36" s="460"/>
      <c r="QP36" s="675"/>
      <c r="QQ36" s="578"/>
      <c r="QR36" s="643"/>
      <c r="QS36" s="675"/>
      <c r="QT36" s="643"/>
      <c r="QU36" s="675"/>
      <c r="QV36" s="460"/>
      <c r="QW36" s="766"/>
      <c r="QX36" s="460"/>
      <c r="QY36" s="675"/>
      <c r="QZ36" s="578"/>
      <c r="RA36" s="549"/>
      <c r="RB36" s="675"/>
      <c r="RC36" s="548"/>
      <c r="RD36" s="675"/>
      <c r="RE36" s="549"/>
      <c r="RF36" s="675"/>
      <c r="RG36" s="460"/>
      <c r="RH36" s="766"/>
      <c r="RI36" s="547"/>
      <c r="RJ36" s="335"/>
      <c r="RK36" s="547"/>
      <c r="RL36" s="335"/>
      <c r="RM36" s="335"/>
      <c r="RN36" s="335"/>
      <c r="RO36" s="575"/>
      <c r="RP36" s="550"/>
      <c r="RQ36" s="575"/>
      <c r="RR36" s="550"/>
      <c r="RS36" s="335"/>
      <c r="RT36" s="548"/>
      <c r="RU36" s="460"/>
      <c r="RV36" s="335"/>
      <c r="RW36" s="548"/>
      <c r="RX36" s="460"/>
      <c r="RY36" s="502"/>
      <c r="RZ36" s="335"/>
      <c r="SA36" s="502"/>
      <c r="SB36" s="335"/>
      <c r="SC36" s="547"/>
      <c r="SD36" s="335"/>
      <c r="SE36" s="502"/>
      <c r="SF36" s="335"/>
      <c r="SG36" s="502"/>
      <c r="SH36" s="335"/>
      <c r="SI36" s="502"/>
      <c r="SJ36" s="335"/>
      <c r="SK36" s="500"/>
      <c r="SL36" s="500"/>
      <c r="SM36" s="500"/>
      <c r="SN36" s="500"/>
      <c r="SO36" s="335"/>
      <c r="SP36" s="500"/>
      <c r="SQ36" s="335"/>
      <c r="SR36" s="549"/>
      <c r="SS36" s="460"/>
      <c r="ST36" s="335"/>
      <c r="SU36" s="547"/>
      <c r="SV36" s="335"/>
      <c r="SW36" s="335"/>
      <c r="SX36" s="500"/>
      <c r="SY36" s="335"/>
      <c r="SZ36" s="553"/>
      <c r="TA36" s="702"/>
      <c r="TB36" s="555"/>
      <c r="TC36" s="675"/>
      <c r="TD36" s="555"/>
      <c r="TE36" s="675"/>
      <c r="TF36" s="553"/>
      <c r="TG36" s="553"/>
      <c r="TH36" s="335"/>
      <c r="TI36" s="553"/>
      <c r="TJ36" s="675"/>
      <c r="TK36" s="555"/>
      <c r="TL36" s="675"/>
      <c r="TM36" s="555"/>
      <c r="TN36" s="675"/>
      <c r="TO36" s="553"/>
      <c r="TP36" s="553"/>
      <c r="TQ36" s="335"/>
      <c r="TR36" s="675"/>
      <c r="TS36" s="335"/>
      <c r="TT36" s="675"/>
      <c r="TU36" s="335"/>
      <c r="TV36" s="675"/>
      <c r="TW36" s="335"/>
      <c r="TX36" s="675"/>
      <c r="TY36" s="550"/>
      <c r="TZ36" s="550"/>
      <c r="UA36" s="550"/>
      <c r="UB36" s="550"/>
      <c r="UC36" s="335"/>
      <c r="UD36" s="675"/>
      <c r="UE36" s="675"/>
      <c r="UF36" s="335"/>
      <c r="UG36" s="675"/>
      <c r="UH36" s="675"/>
      <c r="UI36" s="335"/>
      <c r="UJ36" s="675"/>
      <c r="UK36" s="675"/>
      <c r="UL36" s="335"/>
      <c r="UM36" s="675"/>
      <c r="UN36" s="675"/>
      <c r="UO36" s="550"/>
      <c r="UP36" s="550"/>
      <c r="UQ36" s="550"/>
      <c r="UR36" s="550"/>
      <c r="US36" s="335"/>
      <c r="UT36" s="553"/>
      <c r="UU36" s="675"/>
      <c r="UV36" s="335"/>
      <c r="UW36" s="553"/>
      <c r="UX36" s="675"/>
      <c r="UY36" s="335"/>
      <c r="UZ36" s="675"/>
      <c r="VA36" s="335"/>
      <c r="VB36" s="702"/>
      <c r="VC36" s="335"/>
      <c r="VD36" s="553"/>
      <c r="VE36" s="335"/>
      <c r="VF36" s="553"/>
      <c r="VG36" s="578"/>
      <c r="VH36" s="553"/>
      <c r="VI36" s="578"/>
      <c r="VJ36" s="553"/>
      <c r="VK36" s="578"/>
      <c r="VL36" s="553"/>
      <c r="VM36" s="578"/>
      <c r="VN36" s="553"/>
      <c r="VO36" s="547"/>
      <c r="VP36" s="335"/>
      <c r="VQ36" s="335"/>
      <c r="VR36" s="335"/>
      <c r="VS36" s="335"/>
      <c r="VT36" s="335"/>
      <c r="VU36" s="550"/>
      <c r="VV36" s="550"/>
      <c r="VW36" s="550"/>
      <c r="VX36" s="550"/>
      <c r="VY36" s="335"/>
      <c r="VZ36" s="335"/>
      <c r="WA36" s="335"/>
      <c r="WB36" s="335"/>
      <c r="WC36" s="550"/>
      <c r="WD36" s="550"/>
      <c r="WE36" s="550"/>
      <c r="WF36" s="550"/>
      <c r="WG36" s="1356">
        <f>'Проверочная  таблица'!VY36+'Проверочная  таблица'!WA36</f>
        <v>0</v>
      </c>
      <c r="WH36" s="1356">
        <f>'Проверочная  таблица'!VZ36+'Проверочная  таблица'!WB36</f>
        <v>0</v>
      </c>
      <c r="WI36" s="1481"/>
    </row>
    <row r="37" spans="1:607" s="329" customFormat="1" ht="25.5" customHeight="1" thickBot="1" x14ac:dyDescent="0.35">
      <c r="A37" s="667" t="s">
        <v>148</v>
      </c>
      <c r="B37" s="335">
        <f t="shared" ref="B37:AG37" si="361">B30+B34</f>
        <v>22292367263.529999</v>
      </c>
      <c r="C37" s="335">
        <f t="shared" si="361"/>
        <v>15732244864.920002</v>
      </c>
      <c r="D37" s="547">
        <f t="shared" si="361"/>
        <v>2754734500</v>
      </c>
      <c r="E37" s="335">
        <f t="shared" si="361"/>
        <v>2216968843.52</v>
      </c>
      <c r="F37" s="547">
        <f t="shared" si="361"/>
        <v>1164754900</v>
      </c>
      <c r="G37" s="335">
        <f t="shared" si="361"/>
        <v>958804831.32999992</v>
      </c>
      <c r="H37" s="335">
        <f t="shared" si="361"/>
        <v>623675000</v>
      </c>
      <c r="I37" s="335">
        <f t="shared" si="361"/>
        <v>503870361.74999994</v>
      </c>
      <c r="J37" s="550">
        <f t="shared" si="361"/>
        <v>491728300</v>
      </c>
      <c r="K37" s="550">
        <f t="shared" si="361"/>
        <v>381162916.75</v>
      </c>
      <c r="L37" s="550">
        <f t="shared" si="361"/>
        <v>131946700</v>
      </c>
      <c r="M37" s="550">
        <f t="shared" si="361"/>
        <v>122707445</v>
      </c>
      <c r="N37" s="547">
        <f t="shared" si="361"/>
        <v>527692500</v>
      </c>
      <c r="O37" s="335">
        <f t="shared" si="361"/>
        <v>414760780.35000002</v>
      </c>
      <c r="P37" s="502">
        <f t="shared" si="361"/>
        <v>408612100</v>
      </c>
      <c r="Q37" s="335">
        <f t="shared" si="361"/>
        <v>314856964.09000003</v>
      </c>
      <c r="R37" s="575">
        <f t="shared" si="361"/>
        <v>366867900</v>
      </c>
      <c r="S37" s="550">
        <f t="shared" si="361"/>
        <v>287614739.12</v>
      </c>
      <c r="T37" s="575">
        <f t="shared" si="361"/>
        <v>41744200</v>
      </c>
      <c r="U37" s="550">
        <f t="shared" si="361"/>
        <v>27242224.969999999</v>
      </c>
      <c r="V37" s="335">
        <f t="shared" si="361"/>
        <v>18000000</v>
      </c>
      <c r="W37" s="335">
        <f t="shared" si="361"/>
        <v>13275906</v>
      </c>
      <c r="X37" s="554">
        <f t="shared" si="361"/>
        <v>4300000</v>
      </c>
      <c r="Y37" s="460">
        <f t="shared" si="361"/>
        <v>6000000</v>
      </c>
      <c r="Z37" s="460">
        <f t="shared" si="361"/>
        <v>2975906</v>
      </c>
      <c r="AA37" s="335">
        <f t="shared" si="361"/>
        <v>12000000</v>
      </c>
      <c r="AB37" s="335">
        <f t="shared" si="361"/>
        <v>11400000</v>
      </c>
      <c r="AC37" s="548">
        <f t="shared" si="361"/>
        <v>5400000</v>
      </c>
      <c r="AD37" s="460">
        <f t="shared" si="361"/>
        <v>6000000</v>
      </c>
      <c r="AE37" s="575">
        <f t="shared" si="361"/>
        <v>6000000</v>
      </c>
      <c r="AF37" s="550">
        <f t="shared" si="361"/>
        <v>5400000</v>
      </c>
      <c r="AG37" s="575">
        <f t="shared" si="361"/>
        <v>6000000</v>
      </c>
      <c r="AH37" s="550">
        <f t="shared" ref="AH37:CA37" si="362">AH30+AH34</f>
        <v>6000000</v>
      </c>
      <c r="AI37" s="461">
        <f t="shared" si="362"/>
        <v>7503927241.4799995</v>
      </c>
      <c r="AJ37" s="335">
        <f t="shared" si="362"/>
        <v>4422866173.8400002</v>
      </c>
      <c r="AK37" s="547">
        <f t="shared" si="362"/>
        <v>468268016</v>
      </c>
      <c r="AL37" s="455">
        <f>AL30+AL34</f>
        <v>0</v>
      </c>
      <c r="AM37" s="455">
        <f>AM30+AM34</f>
        <v>468268016</v>
      </c>
      <c r="AN37" s="455">
        <f t="shared" ref="AN37" si="363">AN30+AN34</f>
        <v>0</v>
      </c>
      <c r="AO37" s="591">
        <f>AO30+AO34</f>
        <v>0</v>
      </c>
      <c r="AP37" s="455">
        <f>AP30+AP34</f>
        <v>0</v>
      </c>
      <c r="AQ37" s="547">
        <f t="shared" si="362"/>
        <v>316830526</v>
      </c>
      <c r="AR37" s="455">
        <f>AR30+AR34</f>
        <v>0</v>
      </c>
      <c r="AS37" s="455">
        <f>AS30+AS34</f>
        <v>316830526</v>
      </c>
      <c r="AT37" s="455">
        <f t="shared" ref="AT37" si="364">AT30+AT34</f>
        <v>0</v>
      </c>
      <c r="AU37" s="455">
        <f>AU30+AU34</f>
        <v>0</v>
      </c>
      <c r="AV37" s="455">
        <f>AV30+AV34</f>
        <v>0</v>
      </c>
      <c r="AW37" s="547">
        <f t="shared" si="362"/>
        <v>104550250.45</v>
      </c>
      <c r="AX37" s="455">
        <f>AX30+AX34</f>
        <v>88386939.620000005</v>
      </c>
      <c r="AY37" s="455">
        <f>AY30+AY34</f>
        <v>5264514</v>
      </c>
      <c r="AZ37" s="455">
        <f>AZ30+AZ34</f>
        <v>8900000</v>
      </c>
      <c r="BA37" s="581">
        <f>BA30+BA34</f>
        <v>0</v>
      </c>
      <c r="BB37" s="455">
        <f>BB30+BB34</f>
        <v>1998796.83</v>
      </c>
      <c r="BC37" s="547">
        <f t="shared" si="362"/>
        <v>33802185.729999997</v>
      </c>
      <c r="BD37" s="455">
        <f>BD30+BD34</f>
        <v>22763727.43</v>
      </c>
      <c r="BE37" s="455">
        <f>BE30+BE34</f>
        <v>5001288</v>
      </c>
      <c r="BF37" s="455">
        <f>BF30+BF34</f>
        <v>6037170.2999999998</v>
      </c>
      <c r="BG37" s="591">
        <f>BG30+BG34</f>
        <v>0</v>
      </c>
      <c r="BH37" s="455">
        <f>BH30+BH34</f>
        <v>0</v>
      </c>
      <c r="BI37" s="638">
        <f t="shared" si="362"/>
        <v>104550250.45</v>
      </c>
      <c r="BJ37" s="581">
        <f>BJ30+BJ34</f>
        <v>88386939.620000005</v>
      </c>
      <c r="BK37" s="581">
        <f>BK30+BK34</f>
        <v>5264514</v>
      </c>
      <c r="BL37" s="581">
        <f t="shared" ref="BL37" si="365">BL30+BL34</f>
        <v>8900000</v>
      </c>
      <c r="BM37" s="455">
        <f>BM30+BM34</f>
        <v>0</v>
      </c>
      <c r="BN37" s="663">
        <f>BN30+BN34</f>
        <v>1998796.83</v>
      </c>
      <c r="BO37" s="638">
        <f t="shared" si="362"/>
        <v>33802185.729999997</v>
      </c>
      <c r="BP37" s="455">
        <f>BP30+BP34</f>
        <v>22763727.43</v>
      </c>
      <c r="BQ37" s="591">
        <f>BQ30+BQ34</f>
        <v>5001288</v>
      </c>
      <c r="BR37" s="455">
        <f t="shared" ref="BR37" si="366">BR30+BR34</f>
        <v>6037170.2999999998</v>
      </c>
      <c r="BS37" s="591">
        <f>BS30+BS34</f>
        <v>0</v>
      </c>
      <c r="BT37" s="455">
        <f>BT30+BT34</f>
        <v>0</v>
      </c>
      <c r="BU37" s="638">
        <f t="shared" si="362"/>
        <v>0</v>
      </c>
      <c r="BV37" s="581">
        <f>BV30+BV34</f>
        <v>0</v>
      </c>
      <c r="BW37" s="455">
        <f>BW30+BW34</f>
        <v>0</v>
      </c>
      <c r="BX37" s="455">
        <f>BX30+BX34</f>
        <v>0</v>
      </c>
      <c r="BY37" s="591">
        <f>BY30+BY34</f>
        <v>0</v>
      </c>
      <c r="BZ37" s="455">
        <f>BZ30+BZ34</f>
        <v>0</v>
      </c>
      <c r="CA37" s="578">
        <f t="shared" si="362"/>
        <v>0</v>
      </c>
      <c r="CB37" s="581">
        <f>CB30+CB34</f>
        <v>0</v>
      </c>
      <c r="CC37" s="455">
        <f>CC30+CC34</f>
        <v>0</v>
      </c>
      <c r="CD37" s="581">
        <f t="shared" ref="CD37" si="367">CD30+CD34</f>
        <v>0</v>
      </c>
      <c r="CE37" s="455">
        <f>CE30+CE34</f>
        <v>0</v>
      </c>
      <c r="CF37" s="455">
        <f>CF30+CF34</f>
        <v>0</v>
      </c>
      <c r="CG37" s="593">
        <f>CG30+CG34</f>
        <v>1457227121.1399999</v>
      </c>
      <c r="CH37" s="455">
        <f t="shared" ref="CH37:DA37" si="368">CH30+CH34</f>
        <v>329692872.85000002</v>
      </c>
      <c r="CI37" s="455">
        <f t="shared" si="368"/>
        <v>425001748.29000002</v>
      </c>
      <c r="CJ37" s="455">
        <f t="shared" ref="CJ37" si="369">CJ30+CJ34</f>
        <v>80000000</v>
      </c>
      <c r="CK37" s="455">
        <f>CK30+CK34</f>
        <v>622532500</v>
      </c>
      <c r="CL37" s="432">
        <f>CL30+CL34</f>
        <v>551142705.8599999</v>
      </c>
      <c r="CM37" s="581">
        <f t="shared" si="368"/>
        <v>28947701.23</v>
      </c>
      <c r="CN37" s="455">
        <f t="shared" si="368"/>
        <v>322040889.02999997</v>
      </c>
      <c r="CO37" s="455">
        <f t="shared" ref="CO37" si="370">CO30+CO34</f>
        <v>10256662.810000001</v>
      </c>
      <c r="CP37" s="455">
        <f>CP30+CP34</f>
        <v>189897452.79000002</v>
      </c>
      <c r="CQ37" s="593">
        <f>CQ30+CQ34</f>
        <v>134332565.03999999</v>
      </c>
      <c r="CR37" s="455">
        <f t="shared" si="368"/>
        <v>15459000</v>
      </c>
      <c r="CS37" s="455">
        <f t="shared" si="368"/>
        <v>94333565.039999992</v>
      </c>
      <c r="CT37" s="455">
        <f t="shared" ref="CT37" si="371">CT30+CT34</f>
        <v>0</v>
      </c>
      <c r="CU37" s="455">
        <f>CU30+CU34</f>
        <v>24540000</v>
      </c>
      <c r="CV37" s="432">
        <f>CV30+CV34</f>
        <v>59386561.160000004</v>
      </c>
      <c r="CW37" s="455">
        <f t="shared" si="368"/>
        <v>0</v>
      </c>
      <c r="CX37" s="591">
        <f t="shared" si="368"/>
        <v>36460381.280000001</v>
      </c>
      <c r="CY37" s="455">
        <f t="shared" si="368"/>
        <v>0</v>
      </c>
      <c r="CZ37" s="455">
        <f>CZ30+CZ34</f>
        <v>22926179.879999999</v>
      </c>
      <c r="DA37" s="551">
        <f t="shared" si="368"/>
        <v>0</v>
      </c>
      <c r="DB37" s="551">
        <f t="shared" ref="DB37:EA37" si="372">DB30+DB34</f>
        <v>0</v>
      </c>
      <c r="DC37" s="551">
        <f t="shared" si="372"/>
        <v>134332565.03999999</v>
      </c>
      <c r="DD37" s="551">
        <f t="shared" si="372"/>
        <v>59386561.160000004</v>
      </c>
      <c r="DE37" s="502">
        <f t="shared" si="372"/>
        <v>275429505.25</v>
      </c>
      <c r="DF37" s="432">
        <f t="shared" si="372"/>
        <v>89240316.040000007</v>
      </c>
      <c r="DG37" s="502">
        <f t="shared" si="372"/>
        <v>50673367.840000004</v>
      </c>
      <c r="DH37" s="432">
        <f t="shared" si="372"/>
        <v>25988724.43</v>
      </c>
      <c r="DI37" s="575">
        <f t="shared" si="372"/>
        <v>0</v>
      </c>
      <c r="DJ37" s="551">
        <f t="shared" si="372"/>
        <v>0</v>
      </c>
      <c r="DK37" s="575">
        <f t="shared" si="372"/>
        <v>50673367.840000004</v>
      </c>
      <c r="DL37" s="551">
        <f t="shared" si="372"/>
        <v>25988724.43</v>
      </c>
      <c r="DM37" s="593">
        <f t="shared" si="372"/>
        <v>14496289.75</v>
      </c>
      <c r="DN37" s="432">
        <f t="shared" si="372"/>
        <v>4696858.74</v>
      </c>
      <c r="DO37" s="593">
        <f t="shared" si="372"/>
        <v>2667019.3600000003</v>
      </c>
      <c r="DP37" s="432">
        <f t="shared" si="372"/>
        <v>1367827.6099999999</v>
      </c>
      <c r="DQ37" s="594">
        <f t="shared" si="372"/>
        <v>0</v>
      </c>
      <c r="DR37" s="551">
        <f t="shared" si="372"/>
        <v>0</v>
      </c>
      <c r="DS37" s="594">
        <f t="shared" si="372"/>
        <v>2667019.3600000003</v>
      </c>
      <c r="DT37" s="551">
        <f t="shared" si="372"/>
        <v>1367827.6099999999</v>
      </c>
      <c r="DU37" s="593">
        <f t="shared" si="372"/>
        <v>14940453.199999999</v>
      </c>
      <c r="DV37" s="553">
        <f t="shared" si="372"/>
        <v>4720000</v>
      </c>
      <c r="DW37" s="581">
        <f t="shared" si="372"/>
        <v>280000</v>
      </c>
      <c r="DX37" s="675">
        <f t="shared" si="372"/>
        <v>719971.8</v>
      </c>
      <c r="DY37" s="549">
        <f t="shared" si="372"/>
        <v>716500</v>
      </c>
      <c r="DZ37" s="675">
        <f t="shared" si="372"/>
        <v>1842356.4</v>
      </c>
      <c r="EA37" s="554">
        <f t="shared" si="372"/>
        <v>5283500</v>
      </c>
      <c r="EB37" s="553">
        <f t="shared" ref="EB37:EX37" si="373">EB30+EB34</f>
        <v>1378125</v>
      </c>
      <c r="EC37" s="432">
        <f t="shared" si="373"/>
        <v>4774947.16</v>
      </c>
      <c r="ED37" s="554">
        <f t="shared" si="373"/>
        <v>2022579.8599999999</v>
      </c>
      <c r="EE37" s="581">
        <f t="shared" si="373"/>
        <v>0</v>
      </c>
      <c r="EF37" s="675">
        <f t="shared" si="373"/>
        <v>0</v>
      </c>
      <c r="EG37" s="581">
        <f t="shared" si="373"/>
        <v>0</v>
      </c>
      <c r="EH37" s="675">
        <f t="shared" si="373"/>
        <v>0</v>
      </c>
      <c r="EI37" s="643">
        <f t="shared" si="373"/>
        <v>1374242.3</v>
      </c>
      <c r="EJ37" s="555">
        <f t="shared" si="373"/>
        <v>1378125</v>
      </c>
      <c r="EK37" s="432">
        <f t="shared" ref="EK37:EN37" si="374">EK30+EK34</f>
        <v>421875</v>
      </c>
      <c r="EL37" s="555">
        <f t="shared" si="374"/>
        <v>421875</v>
      </c>
      <c r="EM37" s="432">
        <f t="shared" ref="EM37" si="375">EM30+EM34</f>
        <v>421875</v>
      </c>
      <c r="EN37" s="555">
        <f t="shared" si="374"/>
        <v>421875</v>
      </c>
      <c r="EO37" s="579">
        <f t="shared" ref="EO37:ER37" si="376">EO30+EO34</f>
        <v>0</v>
      </c>
      <c r="EP37" s="579">
        <f t="shared" si="376"/>
        <v>0</v>
      </c>
      <c r="EQ37" s="579">
        <f t="shared" si="376"/>
        <v>421875</v>
      </c>
      <c r="ER37" s="579">
        <f t="shared" si="376"/>
        <v>421875</v>
      </c>
      <c r="ES37" s="461">
        <f t="shared" si="373"/>
        <v>8362084</v>
      </c>
      <c r="ET37" s="460">
        <f t="shared" si="373"/>
        <v>2341384</v>
      </c>
      <c r="EU37" s="766">
        <f t="shared" si="373"/>
        <v>6020700</v>
      </c>
      <c r="EV37" s="432">
        <f t="shared" si="373"/>
        <v>0</v>
      </c>
      <c r="EW37" s="591">
        <f t="shared" si="373"/>
        <v>0</v>
      </c>
      <c r="EX37" s="675">
        <f t="shared" si="373"/>
        <v>0</v>
      </c>
      <c r="EY37" s="461">
        <f t="shared" ref="EY37:FD37" si="377">EY30+EY34</f>
        <v>0</v>
      </c>
      <c r="EZ37" s="460">
        <f t="shared" si="377"/>
        <v>0</v>
      </c>
      <c r="FA37" s="766">
        <f t="shared" si="377"/>
        <v>0</v>
      </c>
      <c r="FB37" s="432">
        <f t="shared" si="377"/>
        <v>0</v>
      </c>
      <c r="FC37" s="591">
        <f t="shared" si="377"/>
        <v>0</v>
      </c>
      <c r="FD37" s="675">
        <f t="shared" si="377"/>
        <v>0</v>
      </c>
      <c r="FE37" s="461">
        <f t="shared" ref="FE37:FN37" si="378">FE30+FE34</f>
        <v>65020526.319999993</v>
      </c>
      <c r="FF37" s="581">
        <f t="shared" si="378"/>
        <v>1145763.1600000001</v>
      </c>
      <c r="FG37" s="672">
        <f t="shared" si="378"/>
        <v>21769500</v>
      </c>
      <c r="FH37" s="581">
        <f t="shared" si="378"/>
        <v>2105263.16</v>
      </c>
      <c r="FI37" s="672">
        <f t="shared" si="378"/>
        <v>40000000</v>
      </c>
      <c r="FJ37" s="461">
        <f t="shared" si="378"/>
        <v>17601242.109999999</v>
      </c>
      <c r="FK37" s="581">
        <f t="shared" si="378"/>
        <v>143220</v>
      </c>
      <c r="FL37" s="672">
        <f t="shared" si="378"/>
        <v>2721180</v>
      </c>
      <c r="FM37" s="581">
        <f t="shared" si="378"/>
        <v>736842.1099999994</v>
      </c>
      <c r="FN37" s="672">
        <f t="shared" si="378"/>
        <v>14000000</v>
      </c>
      <c r="FO37" s="461">
        <f t="shared" ref="FO37:FT37" si="379">FO30+FO34</f>
        <v>380610106</v>
      </c>
      <c r="FP37" s="460">
        <f t="shared" si="379"/>
        <v>19030506</v>
      </c>
      <c r="FQ37" s="766">
        <f t="shared" si="379"/>
        <v>361579600</v>
      </c>
      <c r="FR37" s="432">
        <f t="shared" si="379"/>
        <v>31817301.850000001</v>
      </c>
      <c r="FS37" s="591">
        <f t="shared" si="379"/>
        <v>1590865.15</v>
      </c>
      <c r="FT37" s="675">
        <f t="shared" si="379"/>
        <v>30226436.699999999</v>
      </c>
      <c r="FU37" s="461">
        <f t="shared" ref="FU37:FZ37" si="380">FU30+FU34</f>
        <v>6082100</v>
      </c>
      <c r="FV37" s="553">
        <f t="shared" si="380"/>
        <v>1703000</v>
      </c>
      <c r="FW37" s="675">
        <f t="shared" si="380"/>
        <v>4379100</v>
      </c>
      <c r="FX37" s="432">
        <f t="shared" si="380"/>
        <v>5329484.1100000003</v>
      </c>
      <c r="FY37" s="555">
        <f t="shared" si="380"/>
        <v>1492266.0600000005</v>
      </c>
      <c r="FZ37" s="675">
        <f t="shared" si="380"/>
        <v>3837218.05</v>
      </c>
      <c r="GA37" s="593">
        <f t="shared" ref="GA37:GX37" si="381">GA30+GA34</f>
        <v>13434866</v>
      </c>
      <c r="GB37" s="555">
        <f t="shared" si="381"/>
        <v>3761780.93</v>
      </c>
      <c r="GC37" s="675">
        <f t="shared" si="381"/>
        <v>9673085.0700000003</v>
      </c>
      <c r="GD37" s="432">
        <f t="shared" si="381"/>
        <v>13012556</v>
      </c>
      <c r="GE37" s="553">
        <f t="shared" si="381"/>
        <v>3643533.5500000003</v>
      </c>
      <c r="GF37" s="675">
        <f t="shared" si="381"/>
        <v>9369022.4499999993</v>
      </c>
      <c r="GG37" s="461">
        <f t="shared" si="381"/>
        <v>12743934</v>
      </c>
      <c r="GH37" s="553">
        <f t="shared" si="381"/>
        <v>3568319.0300000003</v>
      </c>
      <c r="GI37" s="675">
        <f t="shared" si="381"/>
        <v>9175614.9699999988</v>
      </c>
      <c r="GJ37" s="432">
        <f t="shared" si="381"/>
        <v>11901339.42</v>
      </c>
      <c r="GK37" s="553">
        <f t="shared" si="381"/>
        <v>3332391.39</v>
      </c>
      <c r="GL37" s="675">
        <f t="shared" si="381"/>
        <v>8568948.0299999993</v>
      </c>
      <c r="GM37" s="654">
        <f t="shared" si="381"/>
        <v>11393934</v>
      </c>
      <c r="GN37" s="553">
        <f t="shared" si="381"/>
        <v>3190317.1700000004</v>
      </c>
      <c r="GO37" s="675">
        <f t="shared" si="381"/>
        <v>8203616.8300000001</v>
      </c>
      <c r="GP37" s="579">
        <f t="shared" si="381"/>
        <v>10551339.42</v>
      </c>
      <c r="GQ37" s="553">
        <f t="shared" si="381"/>
        <v>2954389.53</v>
      </c>
      <c r="GR37" s="675">
        <f t="shared" si="381"/>
        <v>7596949.8899999997</v>
      </c>
      <c r="GS37" s="579">
        <f t="shared" si="381"/>
        <v>1350000</v>
      </c>
      <c r="GT37" s="553">
        <f t="shared" si="381"/>
        <v>378001.86000000004</v>
      </c>
      <c r="GU37" s="675">
        <f t="shared" si="381"/>
        <v>971998.14</v>
      </c>
      <c r="GV37" s="579">
        <f t="shared" si="381"/>
        <v>1350000</v>
      </c>
      <c r="GW37" s="553">
        <f t="shared" si="381"/>
        <v>378001.86</v>
      </c>
      <c r="GX37" s="675">
        <f t="shared" si="381"/>
        <v>971998.14000000013</v>
      </c>
      <c r="GY37" s="461">
        <f t="shared" ref="GY37" si="382">GY30+GY34</f>
        <v>0</v>
      </c>
      <c r="GZ37" s="455">
        <f>GZ30+GZ34</f>
        <v>0</v>
      </c>
      <c r="HA37" s="705">
        <f>HA30+HA34</f>
        <v>0</v>
      </c>
      <c r="HB37" s="432">
        <f t="shared" ref="HB37" si="383">HB30+HB34</f>
        <v>0</v>
      </c>
      <c r="HC37" s="455">
        <f>HC30+HC34</f>
        <v>0</v>
      </c>
      <c r="HD37" s="705">
        <f>HD30+HD34</f>
        <v>0</v>
      </c>
      <c r="HE37" s="335">
        <f t="shared" ref="HE37:ID37" si="384">HE30+HE34</f>
        <v>3580996.2899999996</v>
      </c>
      <c r="HF37" s="455">
        <f>HF30+HF34</f>
        <v>0</v>
      </c>
      <c r="HG37" s="705">
        <f>HG30+HG34</f>
        <v>0</v>
      </c>
      <c r="HH37" s="553">
        <f t="shared" si="384"/>
        <v>2894927.5599999996</v>
      </c>
      <c r="HI37" s="675">
        <f t="shared" si="384"/>
        <v>330504.21000000002</v>
      </c>
      <c r="HJ37" s="553">
        <f t="shared" si="384"/>
        <v>161290.32</v>
      </c>
      <c r="HK37" s="702">
        <f t="shared" si="384"/>
        <v>194274.19999999998</v>
      </c>
      <c r="HL37" s="553">
        <f t="shared" si="384"/>
        <v>0</v>
      </c>
      <c r="HM37" s="702">
        <f t="shared" si="384"/>
        <v>0</v>
      </c>
      <c r="HN37" s="335">
        <f t="shared" si="384"/>
        <v>3580996.2899999996</v>
      </c>
      <c r="HO37" s="455">
        <f>HO30+HO34</f>
        <v>0</v>
      </c>
      <c r="HP37" s="705">
        <f>HP30+HP34</f>
        <v>0</v>
      </c>
      <c r="HQ37" s="455">
        <f t="shared" si="384"/>
        <v>2894927.5599999996</v>
      </c>
      <c r="HR37" s="766">
        <f t="shared" si="384"/>
        <v>330504.21000000002</v>
      </c>
      <c r="HS37" s="455">
        <f t="shared" si="384"/>
        <v>161290.32</v>
      </c>
      <c r="HT37" s="705">
        <f t="shared" si="384"/>
        <v>194274.19999999998</v>
      </c>
      <c r="HU37" s="455">
        <f t="shared" si="384"/>
        <v>0</v>
      </c>
      <c r="HV37" s="705">
        <f t="shared" si="384"/>
        <v>0</v>
      </c>
      <c r="HW37" s="335">
        <f t="shared" si="384"/>
        <v>61952403.710000001</v>
      </c>
      <c r="HX37" s="455">
        <f>HX30+HX34</f>
        <v>17291200</v>
      </c>
      <c r="HY37" s="705">
        <f>HY30+HY34</f>
        <v>44458800</v>
      </c>
      <c r="HZ37" s="553">
        <f t="shared" si="384"/>
        <v>105072.45000000001</v>
      </c>
      <c r="IA37" s="675">
        <f t="shared" si="384"/>
        <v>11995.779999999999</v>
      </c>
      <c r="IB37" s="553">
        <f t="shared" si="384"/>
        <v>38709.68</v>
      </c>
      <c r="IC37" s="766">
        <f t="shared" si="384"/>
        <v>46625.8</v>
      </c>
      <c r="ID37" s="455">
        <f t="shared" si="384"/>
        <v>0</v>
      </c>
      <c r="IE37" s="675">
        <f t="shared" ref="IE37:JJ37" si="385">IE30+IE34</f>
        <v>0</v>
      </c>
      <c r="IF37" s="500">
        <f t="shared" si="385"/>
        <v>11375842.719999999</v>
      </c>
      <c r="IG37" s="455">
        <f t="shared" ref="IG37:IH37" si="386">IG30+IG34</f>
        <v>3128780.05</v>
      </c>
      <c r="IH37" s="705">
        <f t="shared" si="386"/>
        <v>8044658.96</v>
      </c>
      <c r="II37" s="591">
        <f t="shared" si="385"/>
        <v>105072.45000000001</v>
      </c>
      <c r="IJ37" s="675">
        <f t="shared" si="385"/>
        <v>11995.779999999999</v>
      </c>
      <c r="IK37" s="591">
        <f t="shared" si="385"/>
        <v>38709.68</v>
      </c>
      <c r="IL37" s="675">
        <f t="shared" si="385"/>
        <v>46625.8</v>
      </c>
      <c r="IM37" s="455">
        <f t="shared" si="385"/>
        <v>0</v>
      </c>
      <c r="IN37" s="705">
        <f t="shared" si="385"/>
        <v>0</v>
      </c>
      <c r="IO37" s="550">
        <f t="shared" si="385"/>
        <v>61792667.739999995</v>
      </c>
      <c r="IP37" s="455">
        <f>IP30+IP34</f>
        <v>17291200</v>
      </c>
      <c r="IQ37" s="705">
        <f>IQ30+IQ34</f>
        <v>44458800</v>
      </c>
      <c r="IR37" s="553">
        <f t="shared" si="385"/>
        <v>0</v>
      </c>
      <c r="IS37" s="675">
        <f t="shared" si="385"/>
        <v>0</v>
      </c>
      <c r="IT37" s="553">
        <f t="shared" si="385"/>
        <v>19354.84</v>
      </c>
      <c r="IU37" s="675">
        <f t="shared" si="385"/>
        <v>23312.9</v>
      </c>
      <c r="IV37" s="553">
        <f t="shared" si="385"/>
        <v>0</v>
      </c>
      <c r="IW37" s="675">
        <f t="shared" si="385"/>
        <v>0</v>
      </c>
      <c r="IX37" s="550">
        <f t="shared" si="385"/>
        <v>11216106.75</v>
      </c>
      <c r="IY37" s="455">
        <f>IY30+IY34</f>
        <v>3128780.05</v>
      </c>
      <c r="IZ37" s="705">
        <f>IZ30+IZ34</f>
        <v>8044658.96</v>
      </c>
      <c r="JA37" s="553">
        <f t="shared" si="385"/>
        <v>0</v>
      </c>
      <c r="JB37" s="675">
        <f t="shared" si="385"/>
        <v>0</v>
      </c>
      <c r="JC37" s="553">
        <f t="shared" si="385"/>
        <v>19354.84</v>
      </c>
      <c r="JD37" s="702">
        <f t="shared" si="385"/>
        <v>23312.9</v>
      </c>
      <c r="JE37" s="553">
        <f t="shared" si="385"/>
        <v>0</v>
      </c>
      <c r="JF37" s="766">
        <f t="shared" si="385"/>
        <v>0</v>
      </c>
      <c r="JG37" s="550">
        <f t="shared" si="385"/>
        <v>159735.97</v>
      </c>
      <c r="JH37" s="455">
        <f>JH30+JH34</f>
        <v>0</v>
      </c>
      <c r="JI37" s="705">
        <f>JI30+JI34</f>
        <v>0</v>
      </c>
      <c r="JJ37" s="553">
        <f t="shared" si="385"/>
        <v>105072.45000000001</v>
      </c>
      <c r="JK37" s="675">
        <f t="shared" ref="JK37:JY37" si="387">JK30+JK34</f>
        <v>11995.779999999999</v>
      </c>
      <c r="JL37" s="553">
        <f t="shared" si="387"/>
        <v>19354.84</v>
      </c>
      <c r="JM37" s="705">
        <f t="shared" si="387"/>
        <v>23312.9</v>
      </c>
      <c r="JN37" s="455">
        <f t="shared" si="387"/>
        <v>0</v>
      </c>
      <c r="JO37" s="675">
        <f t="shared" si="387"/>
        <v>0</v>
      </c>
      <c r="JP37" s="780">
        <f t="shared" si="387"/>
        <v>159735.97</v>
      </c>
      <c r="JQ37" s="455">
        <f>JQ30+JQ34</f>
        <v>0</v>
      </c>
      <c r="JR37" s="705">
        <f>JR30+JR34</f>
        <v>0</v>
      </c>
      <c r="JS37" s="553">
        <f t="shared" si="387"/>
        <v>105072.45000000001</v>
      </c>
      <c r="JT37" s="675">
        <f t="shared" si="387"/>
        <v>11995.779999999999</v>
      </c>
      <c r="JU37" s="553">
        <f t="shared" si="387"/>
        <v>19354.84</v>
      </c>
      <c r="JV37" s="675">
        <f t="shared" si="387"/>
        <v>23312.9</v>
      </c>
      <c r="JW37" s="455">
        <f t="shared" si="387"/>
        <v>0</v>
      </c>
      <c r="JX37" s="705">
        <f t="shared" si="387"/>
        <v>0</v>
      </c>
      <c r="JY37" s="432">
        <f t="shared" si="387"/>
        <v>451104867.69999999</v>
      </c>
      <c r="JZ37" s="455">
        <f t="shared" ref="JZ37:LG37" si="388">JZ30+JZ34</f>
        <v>110018600</v>
      </c>
      <c r="KA37" s="672">
        <f t="shared" si="388"/>
        <v>282905000</v>
      </c>
      <c r="KB37" s="455">
        <f t="shared" ref="KB37:KD37" si="389">KB30+KB34</f>
        <v>16290767.699999999</v>
      </c>
      <c r="KC37" s="672">
        <f t="shared" si="389"/>
        <v>41890500</v>
      </c>
      <c r="KD37" s="432">
        <f t="shared" si="389"/>
        <v>235187625.56999999</v>
      </c>
      <c r="KE37" s="581">
        <f t="shared" si="388"/>
        <v>63189461.780000001</v>
      </c>
      <c r="KF37" s="672">
        <f t="shared" si="388"/>
        <v>162487203.78999999</v>
      </c>
      <c r="KG37" s="581">
        <f t="shared" ref="KG37:KH37" si="390">KG30+KG34</f>
        <v>2663070.88</v>
      </c>
      <c r="KH37" s="672">
        <f t="shared" si="390"/>
        <v>6847889.1200000001</v>
      </c>
      <c r="KI37" s="432">
        <f t="shared" si="388"/>
        <v>222159444.46000001</v>
      </c>
      <c r="KJ37" s="548">
        <f t="shared" si="388"/>
        <v>11100000</v>
      </c>
      <c r="KK37" s="455">
        <f>KK30+KK34</f>
        <v>23434483.34</v>
      </c>
      <c r="KL37" s="672">
        <f t="shared" ref="KL37" si="391">KL30+KL34</f>
        <v>60260100</v>
      </c>
      <c r="KM37" s="591">
        <f t="shared" si="388"/>
        <v>35662161.119999997</v>
      </c>
      <c r="KN37" s="672">
        <f t="shared" si="388"/>
        <v>91702700</v>
      </c>
      <c r="KO37" s="432">
        <f t="shared" si="388"/>
        <v>49893733.329999998</v>
      </c>
      <c r="KP37" s="647">
        <f t="shared" si="388"/>
        <v>11100000</v>
      </c>
      <c r="KQ37" s="455">
        <f>KQ30+KQ34</f>
        <v>10862245.34</v>
      </c>
      <c r="KR37" s="672">
        <f t="shared" ref="KR37" si="392">KR30+KR34</f>
        <v>27931487.989999998</v>
      </c>
      <c r="KS37" s="581">
        <f t="shared" si="388"/>
        <v>0</v>
      </c>
      <c r="KT37" s="672">
        <f t="shared" si="388"/>
        <v>0</v>
      </c>
      <c r="KU37" s="432">
        <f t="shared" si="388"/>
        <v>4899457.66</v>
      </c>
      <c r="KV37" s="460">
        <f t="shared" si="388"/>
        <v>4899457.66</v>
      </c>
      <c r="KW37" s="460">
        <f t="shared" si="388"/>
        <v>0</v>
      </c>
      <c r="KX37" s="675">
        <f t="shared" si="388"/>
        <v>0</v>
      </c>
      <c r="KY37" s="432">
        <f t="shared" si="388"/>
        <v>4899457.66</v>
      </c>
      <c r="KZ37" s="647">
        <f t="shared" si="388"/>
        <v>4899457.66</v>
      </c>
      <c r="LA37" s="647">
        <f t="shared" si="388"/>
        <v>0</v>
      </c>
      <c r="LB37" s="672">
        <f t="shared" si="388"/>
        <v>0</v>
      </c>
      <c r="LC37" s="579">
        <f t="shared" si="388"/>
        <v>0</v>
      </c>
      <c r="LD37" s="579">
        <f t="shared" si="388"/>
        <v>0</v>
      </c>
      <c r="LE37" s="654">
        <f t="shared" si="388"/>
        <v>4899457.66</v>
      </c>
      <c r="LF37" s="579">
        <f t="shared" si="388"/>
        <v>4899457.66</v>
      </c>
      <c r="LG37" s="432">
        <f t="shared" si="388"/>
        <v>307009629.63</v>
      </c>
      <c r="LH37" s="553">
        <f t="shared" ref="LH37:MD37" si="393">LH30+LH34</f>
        <v>3750000</v>
      </c>
      <c r="LI37" s="675">
        <f t="shared" si="393"/>
        <v>71250000</v>
      </c>
      <c r="LJ37" s="555">
        <f>LJ30+LJ34</f>
        <v>11600000</v>
      </c>
      <c r="LK37" s="675">
        <f t="shared" si="393"/>
        <v>220400000</v>
      </c>
      <c r="LL37" s="553">
        <f>LL30+LL34</f>
        <v>4429.6299999999992</v>
      </c>
      <c r="LM37" s="702">
        <f t="shared" ref="LM37" si="394">LM30+LM34</f>
        <v>5200</v>
      </c>
      <c r="LN37" s="432">
        <f t="shared" si="393"/>
        <v>71263048.219999999</v>
      </c>
      <c r="LO37" s="553">
        <f t="shared" si="393"/>
        <v>603245.53</v>
      </c>
      <c r="LP37" s="675">
        <f t="shared" si="393"/>
        <v>11461665.09</v>
      </c>
      <c r="LQ37" s="553">
        <f>LQ30+LQ34</f>
        <v>2959906.88</v>
      </c>
      <c r="LR37" s="702">
        <f t="shared" si="393"/>
        <v>56238230.719999999</v>
      </c>
      <c r="LS37" s="553">
        <f>LS30+LS34</f>
        <v>0</v>
      </c>
      <c r="LT37" s="702">
        <f t="shared" ref="LT37" si="395">LT30+LT34</f>
        <v>0</v>
      </c>
      <c r="LU37" s="432">
        <f t="shared" si="393"/>
        <v>57996105.259999998</v>
      </c>
      <c r="LV37" s="553">
        <f t="shared" si="393"/>
        <v>1699805.26</v>
      </c>
      <c r="LW37" s="675">
        <f t="shared" si="393"/>
        <v>32296300</v>
      </c>
      <c r="LX37" s="553">
        <f>LX30+LX34</f>
        <v>1200000</v>
      </c>
      <c r="LY37" s="675">
        <f t="shared" si="393"/>
        <v>22800000</v>
      </c>
      <c r="LZ37" s="595">
        <f t="shared" si="393"/>
        <v>33203340.259999998</v>
      </c>
      <c r="MA37" s="553">
        <f t="shared" si="393"/>
        <v>864166.61</v>
      </c>
      <c r="MB37" s="702">
        <f t="shared" si="393"/>
        <v>16419165.65</v>
      </c>
      <c r="MC37" s="553">
        <f>MC30+MC34</f>
        <v>796000.4</v>
      </c>
      <c r="MD37" s="675">
        <f t="shared" si="393"/>
        <v>15124007.6</v>
      </c>
      <c r="ME37" s="552">
        <f t="shared" ref="ME37:NJ37" si="396">ME30+ME34</f>
        <v>0</v>
      </c>
      <c r="MF37" s="555">
        <f t="shared" si="396"/>
        <v>0</v>
      </c>
      <c r="MG37" s="675">
        <f t="shared" si="396"/>
        <v>0</v>
      </c>
      <c r="MH37" s="766">
        <f t="shared" si="396"/>
        <v>0</v>
      </c>
      <c r="MI37" s="553">
        <f t="shared" si="396"/>
        <v>0</v>
      </c>
      <c r="MJ37" s="550">
        <f t="shared" si="396"/>
        <v>0</v>
      </c>
      <c r="MK37" s="643">
        <f t="shared" si="396"/>
        <v>0</v>
      </c>
      <c r="ML37" s="675">
        <f t="shared" si="396"/>
        <v>0</v>
      </c>
      <c r="MM37" s="766">
        <f t="shared" si="396"/>
        <v>0</v>
      </c>
      <c r="MN37" s="553">
        <f t="shared" si="396"/>
        <v>0</v>
      </c>
      <c r="MO37" s="780">
        <f t="shared" si="396"/>
        <v>57996105.259999998</v>
      </c>
      <c r="MP37" s="553">
        <f t="shared" si="396"/>
        <v>1699805.26</v>
      </c>
      <c r="MQ37" s="675">
        <f t="shared" si="396"/>
        <v>32296300</v>
      </c>
      <c r="MR37" s="702">
        <f t="shared" si="396"/>
        <v>22800000</v>
      </c>
      <c r="MS37" s="553">
        <f t="shared" si="396"/>
        <v>1200000</v>
      </c>
      <c r="MT37" s="550">
        <f t="shared" si="396"/>
        <v>33203340.259999998</v>
      </c>
      <c r="MU37" s="553">
        <f t="shared" si="396"/>
        <v>864166.61</v>
      </c>
      <c r="MV37" s="675">
        <f t="shared" si="396"/>
        <v>16419165.65</v>
      </c>
      <c r="MW37" s="702">
        <f t="shared" si="396"/>
        <v>15124007.6</v>
      </c>
      <c r="MX37" s="553">
        <f t="shared" si="396"/>
        <v>796000.4</v>
      </c>
      <c r="MY37" s="593">
        <f t="shared" si="396"/>
        <v>0</v>
      </c>
      <c r="MZ37" s="455">
        <f t="shared" si="396"/>
        <v>0</v>
      </c>
      <c r="NA37" s="432">
        <f t="shared" si="396"/>
        <v>0</v>
      </c>
      <c r="NB37" s="455">
        <f t="shared" si="396"/>
        <v>0</v>
      </c>
      <c r="NC37" s="461">
        <f t="shared" si="396"/>
        <v>2345555.56</v>
      </c>
      <c r="ND37" s="581">
        <f t="shared" si="396"/>
        <v>656755.56000000006</v>
      </c>
      <c r="NE37" s="672">
        <f t="shared" si="396"/>
        <v>1688800</v>
      </c>
      <c r="NF37" s="461">
        <f t="shared" si="396"/>
        <v>1939980.82</v>
      </c>
      <c r="NG37" s="455">
        <f t="shared" si="396"/>
        <v>543194.63</v>
      </c>
      <c r="NH37" s="672">
        <f t="shared" si="396"/>
        <v>1396786.19</v>
      </c>
      <c r="NI37" s="654">
        <f t="shared" si="396"/>
        <v>2345555.56</v>
      </c>
      <c r="NJ37" s="455">
        <f t="shared" si="396"/>
        <v>656755.56000000006</v>
      </c>
      <c r="NK37" s="793">
        <f t="shared" ref="NK37:SF37" si="397">NK30+NK34</f>
        <v>1688800</v>
      </c>
      <c r="NL37" s="654">
        <f t="shared" si="397"/>
        <v>1939980.82</v>
      </c>
      <c r="NM37" s="455">
        <f t="shared" si="397"/>
        <v>543194.63</v>
      </c>
      <c r="NN37" s="793">
        <f t="shared" si="397"/>
        <v>1396786.19</v>
      </c>
      <c r="NO37" s="654">
        <f t="shared" si="397"/>
        <v>0</v>
      </c>
      <c r="NP37" s="455">
        <f t="shared" si="397"/>
        <v>0</v>
      </c>
      <c r="NQ37" s="793">
        <f t="shared" si="397"/>
        <v>0</v>
      </c>
      <c r="NR37" s="654">
        <f t="shared" si="397"/>
        <v>0</v>
      </c>
      <c r="NS37" s="455">
        <f t="shared" si="397"/>
        <v>0</v>
      </c>
      <c r="NT37" s="795">
        <f t="shared" si="397"/>
        <v>0</v>
      </c>
      <c r="NU37" s="432">
        <f>NU30+NU34</f>
        <v>0</v>
      </c>
      <c r="NV37" s="455">
        <f>NV30+NV34</f>
        <v>0</v>
      </c>
      <c r="NW37" s="793">
        <f>NW30+NW34</f>
        <v>0</v>
      </c>
      <c r="NX37" s="432">
        <f>NX30+NX34</f>
        <v>0</v>
      </c>
      <c r="NY37" s="581">
        <f t="shared" ref="NY37:NZ37" si="398">NY30+NY34</f>
        <v>0</v>
      </c>
      <c r="NZ37" s="672">
        <f t="shared" si="398"/>
        <v>0</v>
      </c>
      <c r="OA37" s="432">
        <f t="shared" ref="OA37" si="399">OA30+OA34</f>
        <v>0</v>
      </c>
      <c r="OD37" s="432">
        <f t="shared" ref="OD37" si="400">OD30+OD34</f>
        <v>0</v>
      </c>
      <c r="OG37" s="551">
        <f t="shared" ref="OG37" si="401">OG30+OG34</f>
        <v>0</v>
      </c>
      <c r="OJ37" s="551">
        <f t="shared" ref="OJ37" si="402">OJ30+OJ34</f>
        <v>0</v>
      </c>
      <c r="OM37" s="551">
        <f t="shared" ref="OM37" si="403">OM30+OM34</f>
        <v>0</v>
      </c>
      <c r="OP37" s="551">
        <f t="shared" ref="OP37" si="404">OP30+OP34</f>
        <v>0</v>
      </c>
      <c r="OS37" s="461">
        <f t="shared" si="397"/>
        <v>76435755.349999994</v>
      </c>
      <c r="OT37" s="455">
        <f t="shared" ref="OT37:OY37" si="405">OT30+OT34</f>
        <v>1786701.94</v>
      </c>
      <c r="OU37" s="1291">
        <f t="shared" si="405"/>
        <v>4594376.42</v>
      </c>
      <c r="OV37" s="455">
        <f t="shared" si="405"/>
        <v>0</v>
      </c>
      <c r="OW37" s="795">
        <f t="shared" si="405"/>
        <v>0</v>
      </c>
      <c r="OX37" s="455">
        <f t="shared" si="405"/>
        <v>28653989.030000001</v>
      </c>
      <c r="OY37" s="672">
        <f t="shared" si="405"/>
        <v>41400687.959999993</v>
      </c>
      <c r="OZ37" s="461">
        <f t="shared" ref="OZ37" si="406">OZ30+OZ34</f>
        <v>24257752.93</v>
      </c>
      <c r="PA37" s="581">
        <f t="shared" ref="PA37:PF37" si="407">PA30+PA34</f>
        <v>0</v>
      </c>
      <c r="PB37" s="672">
        <f t="shared" si="407"/>
        <v>0</v>
      </c>
      <c r="PC37" s="455">
        <f t="shared" si="407"/>
        <v>0</v>
      </c>
      <c r="PD37" s="672">
        <f t="shared" si="407"/>
        <v>0</v>
      </c>
      <c r="PE37" s="581">
        <f t="shared" si="407"/>
        <v>9432992.1300000008</v>
      </c>
      <c r="PF37" s="672">
        <f t="shared" si="407"/>
        <v>14824760.800000001</v>
      </c>
      <c r="PG37" s="461">
        <f t="shared" ref="PG37" si="408">PG30+PG34</f>
        <v>47263275.420000002</v>
      </c>
      <c r="PH37" s="647">
        <f>PH30+PH34</f>
        <v>11386083.33</v>
      </c>
      <c r="PI37" s="793">
        <f>PI30+PI34</f>
        <v>29278500</v>
      </c>
      <c r="PJ37" s="455">
        <f t="shared" ref="PJ37:PK37" si="409">PJ30+PJ34</f>
        <v>1277522.67</v>
      </c>
      <c r="PK37" s="672">
        <f t="shared" si="409"/>
        <v>3285058.3099999996</v>
      </c>
      <c r="PL37" s="455">
        <f>PL30+PL34</f>
        <v>570111.11</v>
      </c>
      <c r="PM37" s="795">
        <f>PM30+PM34</f>
        <v>1466000</v>
      </c>
      <c r="PN37" s="455">
        <f>PN30+PN34</f>
        <v>0</v>
      </c>
      <c r="PO37" s="795">
        <f>PO30+PO34</f>
        <v>0</v>
      </c>
      <c r="PP37" s="432">
        <f t="shared" ref="PP37" si="410">PP30+PP34</f>
        <v>38172943.210000001</v>
      </c>
      <c r="PQ37" s="455">
        <f>PQ30+PQ34</f>
        <v>9437667.6100000031</v>
      </c>
      <c r="PR37" s="795">
        <f>PR30+PR34</f>
        <v>24268288.16</v>
      </c>
      <c r="PS37" s="581">
        <f t="shared" ref="PS37:PT37" si="411">PS30+PS34</f>
        <v>1250756.48</v>
      </c>
      <c r="PT37" s="672">
        <f t="shared" si="411"/>
        <v>3216230.96</v>
      </c>
      <c r="PU37" s="455">
        <f>PU30+PU34</f>
        <v>0</v>
      </c>
      <c r="PV37" s="793">
        <f>PV30+PV34</f>
        <v>0</v>
      </c>
      <c r="PW37" s="455">
        <f>PW30+PW34</f>
        <v>0</v>
      </c>
      <c r="PX37" s="672">
        <f>PX30+PX34</f>
        <v>0</v>
      </c>
      <c r="PY37" s="654">
        <f t="shared" ref="PY37:QZ37" si="412">PY30+PY34</f>
        <v>47263275.420000002</v>
      </c>
      <c r="PZ37" s="455">
        <f t="shared" ref="PZ37:QG37" si="413">PZ30+PZ34</f>
        <v>11386083.33</v>
      </c>
      <c r="QA37" s="672">
        <f t="shared" si="413"/>
        <v>29278500</v>
      </c>
      <c r="QB37" s="581">
        <f t="shared" si="413"/>
        <v>1277522.67</v>
      </c>
      <c r="QC37" s="672">
        <f t="shared" si="413"/>
        <v>3285058.3099999996</v>
      </c>
      <c r="QD37" s="581">
        <f>QD30+QD34</f>
        <v>570111.11</v>
      </c>
      <c r="QE37" s="672">
        <f>QE30+QE34</f>
        <v>1466000</v>
      </c>
      <c r="QF37" s="455">
        <f t="shared" si="413"/>
        <v>0</v>
      </c>
      <c r="QG37" s="672">
        <f t="shared" si="413"/>
        <v>0</v>
      </c>
      <c r="QH37" s="654">
        <f t="shared" si="412"/>
        <v>38172943.210000001</v>
      </c>
      <c r="QI37" s="647">
        <f t="shared" ref="QI37:QP37" si="414">QI30+QI34</f>
        <v>9437667.6100000031</v>
      </c>
      <c r="QJ37" s="795">
        <f t="shared" si="414"/>
        <v>24268288.16</v>
      </c>
      <c r="QK37" s="581">
        <f t="shared" si="414"/>
        <v>1250756.48</v>
      </c>
      <c r="QL37" s="672">
        <f t="shared" si="414"/>
        <v>3216230.96</v>
      </c>
      <c r="QM37" s="455">
        <f>QM30+QM34</f>
        <v>0</v>
      </c>
      <c r="QN37" s="793">
        <f>QN30+QN34</f>
        <v>0</v>
      </c>
      <c r="QO37" s="455">
        <f t="shared" si="414"/>
        <v>0</v>
      </c>
      <c r="QP37" s="672">
        <f t="shared" si="414"/>
        <v>0</v>
      </c>
      <c r="QQ37" s="579">
        <f t="shared" si="412"/>
        <v>0</v>
      </c>
      <c r="QR37" s="926">
        <f t="shared" ref="QR37:QY37" si="415">QR30+QR34</f>
        <v>0</v>
      </c>
      <c r="QS37" s="672">
        <f t="shared" si="415"/>
        <v>0</v>
      </c>
      <c r="QT37" s="926">
        <f t="shared" si="415"/>
        <v>0</v>
      </c>
      <c r="QU37" s="672">
        <f t="shared" si="415"/>
        <v>0</v>
      </c>
      <c r="QV37" s="455">
        <f>QV30+QV34</f>
        <v>0</v>
      </c>
      <c r="QW37" s="793">
        <f>QW30+QW34</f>
        <v>0</v>
      </c>
      <c r="QX37" s="455">
        <f t="shared" si="415"/>
        <v>0</v>
      </c>
      <c r="QY37" s="672">
        <f t="shared" si="415"/>
        <v>0</v>
      </c>
      <c r="QZ37" s="579">
        <f t="shared" si="412"/>
        <v>0</v>
      </c>
      <c r="RA37" s="591">
        <f t="shared" ref="RA37:RH37" si="416">RA30+RA34</f>
        <v>0</v>
      </c>
      <c r="RB37" s="672">
        <f t="shared" si="416"/>
        <v>0</v>
      </c>
      <c r="RC37" s="581">
        <f t="shared" si="416"/>
        <v>0</v>
      </c>
      <c r="RD37" s="672">
        <f t="shared" si="416"/>
        <v>0</v>
      </c>
      <c r="RE37" s="591">
        <f>RE30+RE34</f>
        <v>0</v>
      </c>
      <c r="RF37" s="672">
        <f>RF30+RF34</f>
        <v>0</v>
      </c>
      <c r="RG37" s="455">
        <f t="shared" si="416"/>
        <v>0</v>
      </c>
      <c r="RH37" s="793">
        <f t="shared" si="416"/>
        <v>0</v>
      </c>
      <c r="RI37" s="461">
        <f t="shared" si="397"/>
        <v>370000000</v>
      </c>
      <c r="RJ37" s="432">
        <f t="shared" si="397"/>
        <v>370000000</v>
      </c>
      <c r="RK37" s="461">
        <f t="shared" si="397"/>
        <v>1910748427.54</v>
      </c>
      <c r="RL37" s="432">
        <f t="shared" si="397"/>
        <v>1727643036.28</v>
      </c>
      <c r="RM37" s="432">
        <f t="shared" si="397"/>
        <v>979171243.55000019</v>
      </c>
      <c r="RN37" s="432">
        <f t="shared" si="397"/>
        <v>684133965.33000004</v>
      </c>
      <c r="RO37" s="575">
        <f t="shared" si="397"/>
        <v>724397080.78999996</v>
      </c>
      <c r="RP37" s="550">
        <f t="shared" si="397"/>
        <v>477061925.49999994</v>
      </c>
      <c r="RQ37" s="575">
        <f t="shared" si="397"/>
        <v>254774162.75999999</v>
      </c>
      <c r="RR37" s="550">
        <f t="shared" si="397"/>
        <v>215033693.54999998</v>
      </c>
      <c r="RS37" s="335">
        <f t="shared" si="397"/>
        <v>10670853031</v>
      </c>
      <c r="RT37" s="548">
        <f t="shared" si="397"/>
        <v>10506078700</v>
      </c>
      <c r="RU37" s="460">
        <f t="shared" si="397"/>
        <v>164774331</v>
      </c>
      <c r="RV37" s="335">
        <f t="shared" si="397"/>
        <v>8224728440.4099998</v>
      </c>
      <c r="RW37" s="548">
        <f t="shared" si="397"/>
        <v>8120987727.1300001</v>
      </c>
      <c r="RX37" s="460">
        <f t="shared" si="397"/>
        <v>103740713.28</v>
      </c>
      <c r="RY37" s="593">
        <f t="shared" si="397"/>
        <v>9925823100</v>
      </c>
      <c r="RZ37" s="432">
        <f t="shared" si="397"/>
        <v>7668586817.1299992</v>
      </c>
      <c r="SA37" s="502">
        <f t="shared" si="397"/>
        <v>334969400</v>
      </c>
      <c r="SB37" s="432">
        <f t="shared" si="397"/>
        <v>241344050</v>
      </c>
      <c r="SC37" s="461">
        <f t="shared" si="397"/>
        <v>214171000</v>
      </c>
      <c r="SD37" s="432">
        <f t="shared" si="397"/>
        <v>179941660</v>
      </c>
      <c r="SE37" s="593">
        <f t="shared" si="397"/>
        <v>27501500</v>
      </c>
      <c r="SF37" s="432">
        <f t="shared" si="397"/>
        <v>17901519.810000002</v>
      </c>
      <c r="SG37" s="593">
        <f t="shared" ref="SG37:UH37" si="417">SG30+SG34</f>
        <v>139200</v>
      </c>
      <c r="SH37" s="432">
        <f t="shared" si="417"/>
        <v>111972</v>
      </c>
      <c r="SI37" s="593">
        <f t="shared" si="417"/>
        <v>50430000</v>
      </c>
      <c r="SJ37" s="432">
        <f t="shared" si="417"/>
        <v>25219747.399999999</v>
      </c>
      <c r="SK37" s="500">
        <f t="shared" si="417"/>
        <v>7955500</v>
      </c>
      <c r="SL37" s="595">
        <f t="shared" si="417"/>
        <v>3575448</v>
      </c>
      <c r="SM37" s="500">
        <f t="shared" si="417"/>
        <v>14072900</v>
      </c>
      <c r="SN37" s="595">
        <f t="shared" si="417"/>
        <v>11578200</v>
      </c>
      <c r="SO37" s="335">
        <f t="shared" si="417"/>
        <v>0</v>
      </c>
      <c r="SP37" s="595">
        <f t="shared" si="417"/>
        <v>0</v>
      </c>
      <c r="SQ37" s="335">
        <f t="shared" si="417"/>
        <v>95790431</v>
      </c>
      <c r="SR37" s="549">
        <f t="shared" si="417"/>
        <v>31115200</v>
      </c>
      <c r="SS37" s="460">
        <f t="shared" si="417"/>
        <v>64675231</v>
      </c>
      <c r="ST37" s="335">
        <f t="shared" si="417"/>
        <v>76469026.069999993</v>
      </c>
      <c r="SU37" s="461">
        <f t="shared" si="417"/>
        <v>31115200</v>
      </c>
      <c r="SV37" s="432">
        <f t="shared" si="417"/>
        <v>45353826.07</v>
      </c>
      <c r="SW37" s="335">
        <f t="shared" si="417"/>
        <v>1362852491.05</v>
      </c>
      <c r="SX37" s="500">
        <f t="shared" si="417"/>
        <v>867681407.14999998</v>
      </c>
      <c r="SY37" s="335">
        <f t="shared" si="417"/>
        <v>592852491.04999995</v>
      </c>
      <c r="SZ37" s="553">
        <f t="shared" si="417"/>
        <v>78807712</v>
      </c>
      <c r="TA37" s="702">
        <f t="shared" si="417"/>
        <v>202648400</v>
      </c>
      <c r="TB37" s="555">
        <f t="shared" ref="TB37:TC37" si="418">TB30+TB34</f>
        <v>35620396.289999999</v>
      </c>
      <c r="TC37" s="675">
        <f t="shared" si="418"/>
        <v>91595400</v>
      </c>
      <c r="TD37" s="555">
        <f t="shared" ref="TD37:TE37" si="419">TD30+TD34</f>
        <v>12370582.76</v>
      </c>
      <c r="TE37" s="675">
        <f t="shared" si="419"/>
        <v>31810000</v>
      </c>
      <c r="TF37" s="553">
        <f t="shared" ref="TF37" si="420">TF30+TF34</f>
        <v>12370582.76</v>
      </c>
      <c r="TG37" s="553">
        <f t="shared" si="417"/>
        <v>127629417.23999999</v>
      </c>
      <c r="TH37" s="335">
        <f t="shared" si="417"/>
        <v>315389297.36000001</v>
      </c>
      <c r="TI37" s="553">
        <f t="shared" si="417"/>
        <v>54009415.780000001</v>
      </c>
      <c r="TJ37" s="675">
        <f t="shared" si="417"/>
        <v>138881353.33000001</v>
      </c>
      <c r="TK37" s="555">
        <f t="shared" si="417"/>
        <v>26684624.640000001</v>
      </c>
      <c r="TL37" s="675">
        <f t="shared" si="417"/>
        <v>68617677.549999997</v>
      </c>
      <c r="TM37" s="555">
        <f t="shared" ref="TM37:TN37" si="421">TM30+TM34</f>
        <v>3208889.01</v>
      </c>
      <c r="TN37" s="675">
        <f t="shared" si="421"/>
        <v>8251410.75</v>
      </c>
      <c r="TO37" s="553">
        <f t="shared" ref="TO37" si="422">TO30+TO34</f>
        <v>0</v>
      </c>
      <c r="TP37" s="553">
        <f t="shared" si="417"/>
        <v>15735926.300000001</v>
      </c>
      <c r="TQ37" s="335">
        <f>TQ30+TQ34</f>
        <v>0</v>
      </c>
      <c r="TR37" s="672">
        <f t="shared" ref="TR37" si="423">TR30+TR34</f>
        <v>0</v>
      </c>
      <c r="TS37" s="335">
        <f>TS30+TS34</f>
        <v>0</v>
      </c>
      <c r="TT37" s="672">
        <f t="shared" ref="TT37" si="424">TT30+TT34</f>
        <v>0</v>
      </c>
      <c r="TU37" s="335">
        <f>TU30+TU34</f>
        <v>190000000</v>
      </c>
      <c r="TV37" s="672">
        <f>TV30+TV34</f>
        <v>190000000</v>
      </c>
      <c r="TW37" s="335">
        <f>TW30+TW34</f>
        <v>140761606.75999999</v>
      </c>
      <c r="TX37" s="672">
        <f>TX30+TX34</f>
        <v>140761606.75999999</v>
      </c>
      <c r="TY37" s="550">
        <f t="shared" ref="TY37:UB37" si="425">TY30+TY34</f>
        <v>0</v>
      </c>
      <c r="TZ37" s="550">
        <f t="shared" si="425"/>
        <v>0</v>
      </c>
      <c r="UA37" s="550">
        <f t="shared" si="425"/>
        <v>190000000</v>
      </c>
      <c r="UB37" s="550">
        <f t="shared" si="425"/>
        <v>140761606.75999999</v>
      </c>
      <c r="UC37" s="335">
        <f>UC30+UC34</f>
        <v>560000000</v>
      </c>
      <c r="UD37" s="672">
        <f t="shared" si="417"/>
        <v>0</v>
      </c>
      <c r="UE37" s="672">
        <f t="shared" si="417"/>
        <v>560000000</v>
      </c>
      <c r="UF37" s="335">
        <f>UF30+UF34</f>
        <v>391530503.02999997</v>
      </c>
      <c r="UG37" s="672">
        <f t="shared" si="417"/>
        <v>0</v>
      </c>
      <c r="UH37" s="672">
        <f t="shared" si="417"/>
        <v>391530503.02999997</v>
      </c>
      <c r="UI37" s="335">
        <f>UI30+UI34</f>
        <v>20000000</v>
      </c>
      <c r="UJ37" s="672">
        <f t="shared" ref="UJ37:VF37" si="426">UJ30+UJ34</f>
        <v>0</v>
      </c>
      <c r="UK37" s="672">
        <f t="shared" si="426"/>
        <v>20000000</v>
      </c>
      <c r="UL37" s="335">
        <f>UL30+UL34</f>
        <v>20000000</v>
      </c>
      <c r="UM37" s="672">
        <f t="shared" si="426"/>
        <v>0</v>
      </c>
      <c r="UN37" s="672">
        <f t="shared" si="426"/>
        <v>20000000</v>
      </c>
      <c r="UO37" s="550">
        <f t="shared" si="426"/>
        <v>0</v>
      </c>
      <c r="UP37" s="550">
        <f t="shared" si="426"/>
        <v>0</v>
      </c>
      <c r="UQ37" s="550">
        <f t="shared" si="426"/>
        <v>20000000</v>
      </c>
      <c r="UR37" s="550">
        <f t="shared" si="426"/>
        <v>20000000</v>
      </c>
      <c r="US37" s="335">
        <f t="shared" si="426"/>
        <v>0</v>
      </c>
      <c r="UT37" s="553">
        <f t="shared" si="426"/>
        <v>0</v>
      </c>
      <c r="UU37" s="675">
        <f t="shared" si="426"/>
        <v>0</v>
      </c>
      <c r="UV37" s="335">
        <f t="shared" si="426"/>
        <v>0</v>
      </c>
      <c r="UW37" s="553">
        <f t="shared" si="426"/>
        <v>0</v>
      </c>
      <c r="UX37" s="675">
        <f t="shared" si="426"/>
        <v>0</v>
      </c>
      <c r="UY37" s="335">
        <f t="shared" si="426"/>
        <v>0</v>
      </c>
      <c r="UZ37" s="675">
        <f t="shared" si="426"/>
        <v>0</v>
      </c>
      <c r="VA37" s="335">
        <f t="shared" si="426"/>
        <v>0</v>
      </c>
      <c r="VB37" s="702">
        <f t="shared" si="426"/>
        <v>0</v>
      </c>
      <c r="VC37" s="335">
        <f t="shared" si="426"/>
        <v>0</v>
      </c>
      <c r="VD37" s="553">
        <f t="shared" si="426"/>
        <v>0</v>
      </c>
      <c r="VE37" s="335">
        <f t="shared" si="426"/>
        <v>0</v>
      </c>
      <c r="VF37" s="553">
        <f t="shared" si="426"/>
        <v>0</v>
      </c>
      <c r="VG37" s="578">
        <f t="shared" ref="VG37:WF37" si="427">VG30+VG34</f>
        <v>0</v>
      </c>
      <c r="VH37" s="553">
        <f t="shared" si="427"/>
        <v>0</v>
      </c>
      <c r="VI37" s="578">
        <f t="shared" si="427"/>
        <v>0</v>
      </c>
      <c r="VJ37" s="553">
        <f t="shared" si="427"/>
        <v>0</v>
      </c>
      <c r="VK37" s="578">
        <f t="shared" si="427"/>
        <v>0</v>
      </c>
      <c r="VL37" s="553">
        <f t="shared" si="427"/>
        <v>0</v>
      </c>
      <c r="VM37" s="578">
        <f t="shared" si="427"/>
        <v>0</v>
      </c>
      <c r="VN37" s="553">
        <f t="shared" si="427"/>
        <v>0</v>
      </c>
      <c r="VO37" s="547">
        <f t="shared" si="427"/>
        <v>-651947900</v>
      </c>
      <c r="VP37" s="335">
        <f t="shared" si="427"/>
        <v>-213043844.90000001</v>
      </c>
      <c r="VQ37" s="335">
        <f t="shared" si="427"/>
        <v>164600000</v>
      </c>
      <c r="VR37" s="335">
        <f t="shared" si="427"/>
        <v>139919000</v>
      </c>
      <c r="VS37" s="335">
        <f t="shared" si="427"/>
        <v>32700000</v>
      </c>
      <c r="VT37" s="335">
        <f t="shared" si="427"/>
        <v>28315755.100000001</v>
      </c>
      <c r="VU37" s="550">
        <f t="shared" si="427"/>
        <v>12800000</v>
      </c>
      <c r="VV37" s="550">
        <f t="shared" si="427"/>
        <v>12032000</v>
      </c>
      <c r="VW37" s="550">
        <f t="shared" si="427"/>
        <v>19900000</v>
      </c>
      <c r="VX37" s="550">
        <f t="shared" si="427"/>
        <v>16283755.1</v>
      </c>
      <c r="VY37" s="335">
        <f t="shared" si="427"/>
        <v>-728433000</v>
      </c>
      <c r="VZ37" s="335">
        <f t="shared" si="427"/>
        <v>-312791300</v>
      </c>
      <c r="WA37" s="335">
        <f t="shared" si="427"/>
        <v>-120814900</v>
      </c>
      <c r="WB37" s="335">
        <f t="shared" si="427"/>
        <v>-68487300</v>
      </c>
      <c r="WC37" s="550">
        <f t="shared" si="427"/>
        <v>-32164900</v>
      </c>
      <c r="WD37" s="550">
        <f t="shared" si="427"/>
        <v>-16837300</v>
      </c>
      <c r="WE37" s="550">
        <f t="shared" si="427"/>
        <v>-88650000</v>
      </c>
      <c r="WF37" s="550">
        <f t="shared" si="427"/>
        <v>-51650000</v>
      </c>
      <c r="WG37" s="1356">
        <f>'Проверочная  таблица'!VY37+'Проверочная  таблица'!WA37</f>
        <v>-849247900</v>
      </c>
      <c r="WH37" s="1356">
        <f>'Проверочная  таблица'!VZ37+'Проверочная  таблица'!WB37</f>
        <v>-381278600</v>
      </c>
      <c r="WI37" s="1481"/>
    </row>
    <row r="38" spans="1:607" s="388" customFormat="1" ht="16.5" customHeight="1" x14ac:dyDescent="0.3">
      <c r="A38" s="218"/>
      <c r="B38" s="221">
        <f>D38+AI38+'Проверочная  таблица'!RS38</f>
        <v>0</v>
      </c>
      <c r="C38" s="221">
        <f>E38+AJ39+'Проверочная  таблица'!RV38</f>
        <v>0</v>
      </c>
      <c r="D38" s="221">
        <f>D37-'[1]Дотация  из  ОБ_факт'!$F$43</f>
        <v>0</v>
      </c>
      <c r="E38" s="221">
        <f>2216968843.52-E37</f>
        <v>0</v>
      </c>
      <c r="F38" s="221">
        <f>F37+H37</f>
        <v>1788429900</v>
      </c>
      <c r="G38" s="221">
        <f>G37+I37</f>
        <v>1462675193.0799999</v>
      </c>
      <c r="H38" s="218"/>
      <c r="I38" s="218"/>
      <c r="J38" s="218"/>
      <c r="K38" s="218"/>
      <c r="L38" s="218"/>
      <c r="M38" s="218"/>
      <c r="N38" s="221">
        <f>N37+P37</f>
        <v>936304600</v>
      </c>
      <c r="O38" s="221">
        <f>O37+Q37</f>
        <v>729617744.44000006</v>
      </c>
      <c r="P38" s="218"/>
      <c r="Q38" s="218"/>
      <c r="R38" s="218"/>
      <c r="S38" s="218"/>
      <c r="T38" s="218"/>
      <c r="U38" s="218"/>
      <c r="V38" s="218"/>
      <c r="W38" s="218"/>
      <c r="X38" s="218"/>
      <c r="Y38" s="218"/>
      <c r="Z38" s="218"/>
      <c r="AA38" s="218"/>
      <c r="AB38" s="218"/>
      <c r="AC38" s="218"/>
      <c r="AD38" s="218"/>
      <c r="AE38" s="218"/>
      <c r="AF38" s="218"/>
      <c r="AG38" s="218"/>
      <c r="AH38" s="218"/>
      <c r="AI38" s="221">
        <f>AI37-[1]Субсидия_факт!$C$35</f>
        <v>0</v>
      </c>
      <c r="AJ38" s="218"/>
      <c r="AK38" s="218"/>
      <c r="AL38" s="234">
        <f>AL37+AX37</f>
        <v>88386939.620000005</v>
      </c>
      <c r="AM38" s="234">
        <f>AM37+AY37+'Прочая  субсидия_МР  и  ГО'!Z38</f>
        <v>1067830079.7</v>
      </c>
      <c r="AN38" s="234"/>
      <c r="AO38" s="477">
        <f>AO37+BA37</f>
        <v>0</v>
      </c>
      <c r="AP38" s="234">
        <f>AP37+BB37</f>
        <v>1998796.83</v>
      </c>
      <c r="AQ38" s="218"/>
      <c r="AR38" s="477">
        <f>AR37+BD37</f>
        <v>22763727.43</v>
      </c>
      <c r="AS38" s="221">
        <f>AS37+BE37+'Прочая  субсидия_МР  и  ГО'!AA38</f>
        <v>778816206.06999993</v>
      </c>
      <c r="AT38" s="221"/>
      <c r="AU38" s="477">
        <f>AU37+BG37</f>
        <v>0</v>
      </c>
      <c r="AV38" s="234">
        <f>AV37+BH37</f>
        <v>0</v>
      </c>
      <c r="AW38" s="218"/>
      <c r="AX38" s="233"/>
      <c r="AY38" s="221"/>
      <c r="AZ38" s="221"/>
      <c r="BA38" s="221"/>
      <c r="BB38" s="221"/>
      <c r="BC38" s="218"/>
      <c r="BD38" s="218"/>
      <c r="BE38" s="221"/>
      <c r="BF38" s="221"/>
      <c r="BG38" s="221"/>
      <c r="BH38" s="221"/>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34">
        <f t="shared" ref="CG38:CP38" si="428">CG37+CQ37</f>
        <v>1591559686.1799998</v>
      </c>
      <c r="CH38" s="234">
        <f t="shared" si="428"/>
        <v>345151872.85000002</v>
      </c>
      <c r="CI38" s="234">
        <f t="shared" si="428"/>
        <v>519335313.33000004</v>
      </c>
      <c r="CJ38" s="234">
        <f t="shared" si="428"/>
        <v>80000000</v>
      </c>
      <c r="CK38" s="234">
        <f t="shared" si="428"/>
        <v>647072500</v>
      </c>
      <c r="CL38" s="234">
        <f t="shared" si="428"/>
        <v>610529267.01999986</v>
      </c>
      <c r="CM38" s="234">
        <f t="shared" si="428"/>
        <v>28947701.23</v>
      </c>
      <c r="CN38" s="234">
        <f t="shared" si="428"/>
        <v>358501270.30999994</v>
      </c>
      <c r="CO38" s="234">
        <f t="shared" si="428"/>
        <v>10256662.810000001</v>
      </c>
      <c r="CP38" s="234">
        <f t="shared" si="428"/>
        <v>212823632.67000002</v>
      </c>
      <c r="CQ38" s="233"/>
      <c r="CR38" s="233"/>
      <c r="CS38" s="233"/>
      <c r="CT38" s="233"/>
      <c r="CV38" s="233"/>
      <c r="CW38" s="233"/>
      <c r="CX38" s="233"/>
      <c r="CY38" s="233"/>
      <c r="DA38" s="233"/>
      <c r="DB38" s="233"/>
      <c r="DC38" s="233"/>
      <c r="DD38" s="233"/>
      <c r="DE38" s="221">
        <f>DE37+DG37</f>
        <v>326102873.09000003</v>
      </c>
      <c r="DF38" s="221">
        <f>DF37+DH37</f>
        <v>115229040.47</v>
      </c>
      <c r="DG38" s="218"/>
      <c r="DH38" s="218"/>
      <c r="DI38" s="218"/>
      <c r="DJ38" s="218"/>
      <c r="DK38" s="218"/>
      <c r="DL38" s="218"/>
      <c r="DM38" s="221">
        <f>DM37+DO37</f>
        <v>17163309.109999999</v>
      </c>
      <c r="DN38" s="221">
        <f>DN37+DP37</f>
        <v>6064686.3499999996</v>
      </c>
      <c r="DO38" s="218"/>
      <c r="DP38" s="218"/>
      <c r="DQ38" s="218"/>
      <c r="DR38" s="218"/>
      <c r="DS38" s="218"/>
      <c r="DT38" s="218"/>
      <c r="DU38" s="235"/>
      <c r="DV38" s="235"/>
      <c r="DW38" s="235"/>
      <c r="DX38" s="235"/>
      <c r="DY38" s="235"/>
      <c r="DZ38" s="235"/>
      <c r="EA38" s="235"/>
      <c r="EB38" s="235">
        <f>EB37+EL37</f>
        <v>1800000</v>
      </c>
      <c r="EC38" s="235"/>
      <c r="ED38" s="235"/>
      <c r="EE38" s="235"/>
      <c r="EF38" s="235"/>
      <c r="EG38" s="235"/>
      <c r="EH38" s="235"/>
      <c r="EI38" s="235"/>
      <c r="EJ38" s="235">
        <f>EJ37+EN37</f>
        <v>1800000</v>
      </c>
      <c r="EK38" s="235"/>
      <c r="EL38" s="235"/>
      <c r="EM38" s="235"/>
      <c r="EN38" s="235"/>
      <c r="EO38" s="235"/>
      <c r="EP38" s="235"/>
      <c r="EQ38" s="235"/>
      <c r="ER38" s="235"/>
      <c r="ES38" s="235"/>
      <c r="ET38" s="235"/>
      <c r="EU38" s="235"/>
      <c r="EV38" s="235"/>
      <c r="EW38" s="235"/>
      <c r="EX38" s="235"/>
      <c r="EY38" s="235"/>
      <c r="EZ38" s="235">
        <f>EZ37</f>
        <v>0</v>
      </c>
      <c r="FA38" s="235">
        <f>FA37</f>
        <v>0</v>
      </c>
      <c r="FB38" s="235"/>
      <c r="FC38" s="235">
        <f>FC37</f>
        <v>0</v>
      </c>
      <c r="FD38" s="235">
        <f>FD37</f>
        <v>0</v>
      </c>
      <c r="FE38" s="233"/>
      <c r="FF38" s="233"/>
      <c r="FG38" s="233"/>
      <c r="FH38" s="233"/>
      <c r="FI38" s="233"/>
      <c r="FJ38" s="233"/>
      <c r="FK38" s="233"/>
      <c r="FL38" s="233"/>
      <c r="FM38" s="233"/>
      <c r="FN38" s="233"/>
      <c r="FO38" s="235"/>
      <c r="FP38" s="235"/>
      <c r="FQ38" s="235"/>
      <c r="FR38" s="235"/>
      <c r="FS38" s="235"/>
      <c r="FT38" s="235"/>
      <c r="FU38" s="235"/>
      <c r="FV38" s="235"/>
      <c r="FW38" s="235"/>
      <c r="FX38" s="235"/>
      <c r="FY38" s="235"/>
      <c r="FZ38" s="235"/>
      <c r="GA38" s="477">
        <f>GA37+'Проверочная  таблица'!GG37</f>
        <v>26178800</v>
      </c>
      <c r="GB38" s="477">
        <f>GB37+'Проверочная  таблица'!GH37</f>
        <v>7330099.9600000009</v>
      </c>
      <c r="GC38" s="477">
        <f>GC37+'Проверочная  таблица'!GI37</f>
        <v>18848700.039999999</v>
      </c>
      <c r="GD38" s="477">
        <f>GD37+'Проверочная  таблица'!GJ37</f>
        <v>24913895.420000002</v>
      </c>
      <c r="GE38" s="477">
        <f>GE37+'Проверочная  таблица'!GK37</f>
        <v>6975924.9400000004</v>
      </c>
      <c r="GF38" s="477">
        <f>GF37+'Проверочная  таблица'!GL37</f>
        <v>17937970.479999997</v>
      </c>
      <c r="GG38" s="233"/>
      <c r="GH38" s="233"/>
      <c r="GI38" s="233"/>
      <c r="GJ38" s="233"/>
      <c r="GK38" s="233"/>
      <c r="GL38" s="233"/>
      <c r="HE38" s="215"/>
      <c r="HF38" s="640">
        <f>HF37+'Проверочная  таблица'!HX37</f>
        <v>17291200</v>
      </c>
      <c r="HG38" s="640">
        <f>HG37+'Проверочная  таблица'!HY37</f>
        <v>44458800</v>
      </c>
      <c r="HH38" s="640">
        <f>HH37+'Проверочная  таблица'!HZ37</f>
        <v>3000000.01</v>
      </c>
      <c r="HI38" s="640">
        <f>HI37+'Проверочная  таблица'!IA37</f>
        <v>342499.99</v>
      </c>
      <c r="HJ38" s="640">
        <f>HJ37+'Проверочная  таблица'!IB37</f>
        <v>200000</v>
      </c>
      <c r="HK38" s="640">
        <f>HK37+'Проверочная  таблица'!IC37</f>
        <v>240900</v>
      </c>
      <c r="HL38" s="640">
        <f>HL37+'Проверочная  таблица'!ID37</f>
        <v>0</v>
      </c>
      <c r="HM38" s="640">
        <f>HM37+'Проверочная  таблица'!IE37</f>
        <v>0</v>
      </c>
      <c r="HN38" s="215"/>
      <c r="HO38" s="640">
        <f>HO37+'Проверочная  таблица'!IG37</f>
        <v>3128780.05</v>
      </c>
      <c r="HP38" s="640">
        <f>HP37+'Проверочная  таблица'!IH37</f>
        <v>8044658.96</v>
      </c>
      <c r="HQ38" s="640">
        <f>HQ37+'Проверочная  таблица'!II37</f>
        <v>3000000.01</v>
      </c>
      <c r="HR38" s="640">
        <f>HR37+'Проверочная  таблица'!IJ37</f>
        <v>342499.99</v>
      </c>
      <c r="HS38" s="640">
        <f>HS37+'Проверочная  таблица'!IK37</f>
        <v>200000</v>
      </c>
      <c r="HT38" s="640">
        <f>HT37+'Проверочная  таблица'!IL37</f>
        <v>240900</v>
      </c>
      <c r="HU38" s="640">
        <f>HU37+'Проверочная  таблица'!IM37</f>
        <v>0</v>
      </c>
      <c r="HV38" s="640">
        <f>HV37+'Проверочная  таблица'!IN37</f>
        <v>0</v>
      </c>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c r="IW38" s="215"/>
      <c r="IX38" s="215"/>
      <c r="IY38" s="215"/>
      <c r="IZ38" s="215"/>
      <c r="JA38" s="215"/>
      <c r="JB38" s="215"/>
      <c r="JC38" s="215"/>
      <c r="JD38" s="215"/>
      <c r="JE38" s="215"/>
      <c r="JF38" s="215"/>
      <c r="JG38" s="215"/>
      <c r="JH38" s="215"/>
      <c r="JI38" s="215"/>
      <c r="JJ38" s="215"/>
      <c r="JK38" s="215"/>
      <c r="JL38" s="215"/>
      <c r="JM38" s="215"/>
      <c r="JN38" s="215"/>
      <c r="JO38" s="215"/>
      <c r="JP38" s="215"/>
      <c r="JQ38" s="215"/>
      <c r="JR38" s="215"/>
      <c r="JS38" s="215"/>
      <c r="JT38" s="215"/>
      <c r="JU38" s="215"/>
      <c r="JV38" s="215"/>
      <c r="JW38" s="215"/>
      <c r="JX38" s="215"/>
      <c r="JY38" s="233"/>
      <c r="JZ38" s="233"/>
      <c r="KA38" s="233"/>
      <c r="KB38" s="233"/>
      <c r="KC38" s="233"/>
      <c r="KD38" s="233"/>
      <c r="KE38" s="233"/>
      <c r="KI38" s="233"/>
      <c r="KJ38" s="233"/>
      <c r="KK38" s="233"/>
      <c r="KL38" s="233"/>
      <c r="KM38" s="233"/>
      <c r="KN38" s="233"/>
      <c r="KO38" s="233"/>
      <c r="KP38" s="233"/>
      <c r="KQ38" s="233"/>
      <c r="KR38" s="233"/>
      <c r="KS38" s="233"/>
      <c r="KT38" s="233"/>
      <c r="LG38" s="477"/>
      <c r="LH38" s="477">
        <f>LH37+'Проверочная  таблица'!LV37</f>
        <v>5449805.2599999998</v>
      </c>
      <c r="LI38" s="477">
        <f>LI37+'Проверочная  таблица'!LW37</f>
        <v>103546300</v>
      </c>
      <c r="LJ38" s="477">
        <f>LJ37+'Проверочная  таблица'!LX37</f>
        <v>12800000</v>
      </c>
      <c r="LK38" s="477">
        <f>LK37+'Проверочная  таблица'!LY37</f>
        <v>243200000</v>
      </c>
      <c r="LL38" s="477">
        <f>LL37</f>
        <v>4429.6299999999992</v>
      </c>
      <c r="LM38" s="477">
        <f>LM37</f>
        <v>5200</v>
      </c>
      <c r="LN38" s="477"/>
      <c r="LO38" s="477">
        <f>LO37+'Проверочная  таблица'!MA37</f>
        <v>1467412.1400000001</v>
      </c>
      <c r="LP38" s="477">
        <f>LP37+'Проверочная  таблица'!MB37</f>
        <v>27880830.740000002</v>
      </c>
      <c r="LQ38" s="477">
        <f>LQ37+'Проверочная  таблица'!MC37</f>
        <v>3755907.28</v>
      </c>
      <c r="LR38" s="477">
        <f>LR37+'Проверочная  таблица'!MD37</f>
        <v>71362238.319999993</v>
      </c>
      <c r="LS38" s="477">
        <f>LS37</f>
        <v>0</v>
      </c>
      <c r="LT38" s="477">
        <f>LT37</f>
        <v>0</v>
      </c>
      <c r="LU38" s="233"/>
      <c r="LV38" s="233"/>
      <c r="LW38" s="233"/>
      <c r="LX38" s="233"/>
      <c r="LY38" s="233"/>
      <c r="LZ38" s="233"/>
      <c r="MA38" s="233"/>
      <c r="MB38" s="233"/>
      <c r="MC38" s="233"/>
      <c r="MD38" s="233"/>
      <c r="MY38" s="234">
        <f>MY37+'Проверочная  таблица'!NC37</f>
        <v>2345555.56</v>
      </c>
      <c r="MZ38" s="234"/>
      <c r="NA38" s="234">
        <f>NA37+'Проверочная  таблица'!NF37</f>
        <v>1939980.82</v>
      </c>
      <c r="NB38" s="234"/>
      <c r="NC38" s="233"/>
      <c r="ND38" s="233"/>
      <c r="NE38" s="233"/>
      <c r="NF38" s="233"/>
      <c r="NG38" s="233"/>
      <c r="NH38" s="233"/>
      <c r="NI38" s="233"/>
      <c r="NJ38" s="233"/>
      <c r="NK38" s="233"/>
      <c r="NL38" s="233"/>
      <c r="NM38" s="233"/>
      <c r="NN38" s="233"/>
      <c r="NO38" s="233"/>
      <c r="NP38" s="233"/>
      <c r="NQ38" s="233"/>
      <c r="NR38" s="233"/>
      <c r="NS38" s="233"/>
      <c r="NT38" s="233"/>
      <c r="NU38" s="234">
        <f>NU37+OA37</f>
        <v>0</v>
      </c>
      <c r="NV38" s="234"/>
      <c r="NW38" s="234"/>
      <c r="NX38" s="234">
        <f>NX37+OD37</f>
        <v>0</v>
      </c>
      <c r="NY38" s="477"/>
      <c r="NZ38" s="477"/>
      <c r="OA38" s="233"/>
      <c r="OD38" s="218"/>
      <c r="OG38" s="221"/>
      <c r="OH38" s="221"/>
      <c r="OI38" s="221"/>
      <c r="OJ38" s="221"/>
      <c r="OK38" s="221"/>
      <c r="OL38" s="221"/>
      <c r="OM38" s="221"/>
      <c r="ON38" s="221"/>
      <c r="OO38" s="221"/>
      <c r="OP38" s="221"/>
      <c r="OQ38" s="221"/>
      <c r="OR38" s="221"/>
      <c r="OS38" s="233"/>
      <c r="OT38" s="477">
        <f t="shared" ref="OT38:OY38" si="429">OT37+PJ37</f>
        <v>3064224.61</v>
      </c>
      <c r="OU38" s="477">
        <f t="shared" si="429"/>
        <v>7879434.7299999995</v>
      </c>
      <c r="OV38" s="477">
        <f t="shared" si="429"/>
        <v>570111.11</v>
      </c>
      <c r="OW38" s="477">
        <f t="shared" si="429"/>
        <v>1466000</v>
      </c>
      <c r="OX38" s="234">
        <f t="shared" si="429"/>
        <v>28653989.030000001</v>
      </c>
      <c r="OY38" s="234">
        <f t="shared" si="429"/>
        <v>41400687.959999993</v>
      </c>
      <c r="OZ38" s="233"/>
      <c r="PA38" s="477">
        <f t="shared" ref="PA38:PF38" si="430">PA37+PS37</f>
        <v>1250756.48</v>
      </c>
      <c r="PB38" s="477">
        <f t="shared" si="430"/>
        <v>3216230.96</v>
      </c>
      <c r="PC38" s="234">
        <f t="shared" si="430"/>
        <v>0</v>
      </c>
      <c r="PD38" s="234">
        <f t="shared" si="430"/>
        <v>0</v>
      </c>
      <c r="PE38" s="234">
        <f t="shared" si="430"/>
        <v>9432992.1300000008</v>
      </c>
      <c r="PF38" s="234">
        <f t="shared" si="430"/>
        <v>14824760.800000001</v>
      </c>
      <c r="PG38" s="233"/>
      <c r="PH38" s="233"/>
      <c r="PI38" s="233"/>
      <c r="PJ38" s="233"/>
      <c r="PK38" s="233"/>
      <c r="PL38" s="221"/>
      <c r="PM38" s="221"/>
      <c r="PN38" s="233"/>
      <c r="PO38" s="233"/>
      <c r="PP38" s="233"/>
      <c r="PQ38" s="233"/>
      <c r="PR38" s="233"/>
      <c r="PS38" s="233"/>
      <c r="PT38" s="233"/>
      <c r="PU38" s="221"/>
      <c r="PV38" s="221"/>
      <c r="PW38" s="233"/>
      <c r="PX38" s="233"/>
      <c r="PY38" s="233"/>
      <c r="PZ38" s="233"/>
      <c r="QA38" s="233"/>
      <c r="QB38" s="233"/>
      <c r="QC38" s="233"/>
      <c r="QD38" s="233"/>
      <c r="QE38" s="233"/>
      <c r="QF38" s="233"/>
      <c r="QG38" s="233"/>
      <c r="QH38" s="233"/>
      <c r="QI38" s="233"/>
      <c r="QJ38" s="233"/>
      <c r="QK38" s="233"/>
      <c r="QL38" s="233"/>
      <c r="QM38" s="233"/>
      <c r="QN38" s="233"/>
      <c r="QO38" s="233"/>
      <c r="QP38" s="233"/>
      <c r="QQ38" s="233"/>
      <c r="QR38" s="233"/>
      <c r="QS38" s="233"/>
      <c r="QT38" s="233"/>
      <c r="QU38" s="233"/>
      <c r="QV38" s="233"/>
      <c r="QW38" s="233"/>
      <c r="QX38" s="233"/>
      <c r="QY38" s="233"/>
      <c r="QZ38" s="233"/>
      <c r="RA38" s="233"/>
      <c r="RB38" s="233"/>
      <c r="RC38" s="233"/>
      <c r="RD38" s="233"/>
      <c r="RE38" s="233"/>
      <c r="RF38" s="233"/>
      <c r="RG38" s="233"/>
      <c r="RH38" s="233"/>
      <c r="RK38" s="235"/>
      <c r="RL38" s="235"/>
      <c r="RM38" s="218"/>
      <c r="RN38" s="218"/>
      <c r="RO38" s="218"/>
      <c r="RP38" s="218"/>
      <c r="RQ38" s="218"/>
      <c r="RR38" s="218"/>
      <c r="RS38" s="221">
        <f>RS37-[1]Субвенция_факт!$D$37</f>
        <v>0</v>
      </c>
      <c r="RT38" s="221"/>
      <c r="RU38" s="218"/>
      <c r="RV38" s="221">
        <f>8224728440.41-RV37</f>
        <v>0</v>
      </c>
      <c r="RW38" s="221"/>
      <c r="RX38" s="218"/>
      <c r="RY38" s="221"/>
      <c r="RZ38" s="221"/>
      <c r="SA38" s="1190"/>
      <c r="SB38" s="1190"/>
      <c r="SC38" s="1190"/>
      <c r="SD38" s="235"/>
      <c r="SE38" s="218"/>
      <c r="SF38" s="221">
        <f>17901519.81-SF37</f>
        <v>0</v>
      </c>
      <c r="SG38" s="218"/>
      <c r="SH38" s="221">
        <f>111972-SH37</f>
        <v>0</v>
      </c>
      <c r="SI38" s="221"/>
      <c r="SJ38" s="221">
        <f>25219747.4-SJ37</f>
        <v>0</v>
      </c>
      <c r="SK38" s="221"/>
      <c r="SL38" s="221">
        <f>3575448-SL37</f>
        <v>0</v>
      </c>
      <c r="SM38" s="221"/>
      <c r="SN38" s="221">
        <f>11578200-SN37</f>
        <v>0</v>
      </c>
      <c r="SO38" s="221"/>
      <c r="SP38" s="221">
        <f>0-SP37</f>
        <v>0</v>
      </c>
      <c r="SQ38" s="218"/>
      <c r="SR38" s="218"/>
      <c r="SS38" s="218"/>
      <c r="ST38" s="218"/>
      <c r="SU38" s="218"/>
      <c r="SV38" s="221">
        <f>45353826.07-SV37</f>
        <v>0</v>
      </c>
      <c r="SW38" s="434">
        <f>'[1]Иные межбюджетные трансферты'!$B$35-SW37</f>
        <v>0</v>
      </c>
      <c r="SX38" s="434">
        <f>867681407.15-SX37</f>
        <v>0</v>
      </c>
      <c r="SY38" s="221"/>
      <c r="SZ38" s="221"/>
      <c r="TA38" s="221"/>
      <c r="TB38" s="221"/>
      <c r="TC38" s="221"/>
      <c r="TD38" s="221"/>
      <c r="TE38" s="221"/>
      <c r="TF38" s="221"/>
      <c r="TG38" s="221"/>
      <c r="TH38" s="221"/>
      <c r="TI38" s="221"/>
      <c r="TJ38" s="221"/>
      <c r="TK38" s="221"/>
      <c r="TL38" s="221"/>
      <c r="TM38" s="221"/>
      <c r="TN38" s="221"/>
      <c r="TO38" s="221"/>
      <c r="TP38" s="221"/>
      <c r="TQ38" s="221"/>
      <c r="TR38" s="434">
        <f>TR37+TV37</f>
        <v>190000000</v>
      </c>
      <c r="TS38" s="221"/>
      <c r="TT38" s="434">
        <f>TT37+TX37</f>
        <v>140761606.75999999</v>
      </c>
      <c r="TU38" s="221"/>
      <c r="TV38" s="221"/>
      <c r="TW38" s="221"/>
      <c r="TX38" s="221"/>
      <c r="TY38" s="221"/>
      <c r="TZ38" s="221"/>
      <c r="UA38" s="221"/>
      <c r="UB38" s="221"/>
      <c r="UD38" s="434">
        <f>UD37+UJ37</f>
        <v>0</v>
      </c>
      <c r="UE38" s="434">
        <f>UE37+UK37</f>
        <v>580000000</v>
      </c>
      <c r="UG38" s="434">
        <f>UG37+UM37</f>
        <v>0</v>
      </c>
      <c r="UH38" s="434">
        <f>UH37+UN37</f>
        <v>411530503.02999997</v>
      </c>
      <c r="UJ38" s="221"/>
      <c r="UK38" s="221"/>
      <c r="UM38" s="221"/>
      <c r="UN38" s="221"/>
      <c r="UO38" s="221"/>
      <c r="UP38" s="221"/>
      <c r="UQ38" s="221"/>
      <c r="UR38" s="221"/>
      <c r="US38" s="221"/>
      <c r="UT38" s="221"/>
      <c r="UU38" s="221"/>
      <c r="UV38" s="221"/>
      <c r="UW38" s="221"/>
      <c r="UX38" s="221"/>
      <c r="UY38" s="215"/>
      <c r="UZ38" s="215"/>
      <c r="VA38" s="215"/>
      <c r="VB38" s="215"/>
      <c r="VC38" s="218"/>
      <c r="VD38" s="218"/>
      <c r="VE38" s="218"/>
      <c r="VF38" s="218"/>
      <c r="VG38" s="218"/>
      <c r="VH38" s="218"/>
      <c r="VI38" s="218"/>
      <c r="VJ38" s="218"/>
      <c r="VK38" s="218"/>
      <c r="VL38" s="218"/>
      <c r="VM38" s="218"/>
      <c r="VN38" s="218"/>
      <c r="VO38" s="218"/>
      <c r="VP38" s="221"/>
      <c r="VQ38" s="221">
        <f>VQ37+VU37+VW37</f>
        <v>197300000</v>
      </c>
      <c r="VR38" s="221">
        <f>VR37+VV37+VX37</f>
        <v>168234755.09999999</v>
      </c>
      <c r="VS38" s="221"/>
      <c r="VT38" s="221"/>
      <c r="VU38" s="221"/>
      <c r="VV38" s="221"/>
      <c r="VW38" s="227"/>
      <c r="VX38" s="227"/>
      <c r="VY38" s="221">
        <f>VY37+WC37+WE37</f>
        <v>-849247900</v>
      </c>
      <c r="VZ38" s="221">
        <f>VZ37+WD37+WF37</f>
        <v>-381278600</v>
      </c>
      <c r="WA38" s="221"/>
      <c r="WB38" s="221"/>
      <c r="WC38" s="221"/>
      <c r="WD38" s="221"/>
      <c r="WE38" s="218"/>
      <c r="WF38" s="218"/>
      <c r="WG38" s="227"/>
      <c r="WH38" s="218"/>
    </row>
    <row r="39" spans="1:607" s="388" customFormat="1" ht="160.5" customHeight="1" x14ac:dyDescent="0.3">
      <c r="A39" s="434">
        <f>B37-'[2]Исполнение  по  МБТ  всего'!$B$33*1000</f>
        <v>0</v>
      </c>
      <c r="B39" s="1210">
        <f>C37-'[2]Исполнение  по  МБТ  всего'!$E$33*1000</f>
        <v>0</v>
      </c>
      <c r="C39" s="1508">
        <v>15732244864.92</v>
      </c>
      <c r="D39" s="217"/>
      <c r="E39" s="217"/>
      <c r="F39" s="1531" t="s">
        <v>219</v>
      </c>
      <c r="G39" s="1532"/>
      <c r="H39" s="1532"/>
      <c r="I39" s="1532"/>
      <c r="J39" s="1532"/>
      <c r="K39" s="1532"/>
      <c r="L39" s="1532"/>
      <c r="M39" s="1533"/>
      <c r="N39" s="1537" t="s">
        <v>218</v>
      </c>
      <c r="O39" s="1538"/>
      <c r="P39" s="1538"/>
      <c r="Q39" s="1538"/>
      <c r="R39" s="1538"/>
      <c r="S39" s="1538"/>
      <c r="T39" s="1538"/>
      <c r="U39" s="1539"/>
      <c r="V39" s="1531" t="s">
        <v>217</v>
      </c>
      <c r="W39" s="1533"/>
      <c r="X39" s="219"/>
      <c r="Y39" s="219"/>
      <c r="Z39" s="219"/>
      <c r="AA39" s="1535" t="s">
        <v>213</v>
      </c>
      <c r="AB39" s="1535"/>
      <c r="AC39" s="1535"/>
      <c r="AD39" s="1535"/>
      <c r="AE39" s="1535"/>
      <c r="AF39" s="1535"/>
      <c r="AG39" s="1535"/>
      <c r="AH39" s="1535"/>
      <c r="AI39" s="221"/>
      <c r="AJ39" s="221">
        <f>AJ37-AJ40</f>
        <v>0</v>
      </c>
      <c r="AK39" s="1613" t="s">
        <v>768</v>
      </c>
      <c r="AL39" s="1613"/>
      <c r="AM39" s="1613"/>
      <c r="AN39" s="1613"/>
      <c r="AO39" s="1613"/>
      <c r="AP39" s="1613"/>
      <c r="AQ39" s="1613"/>
      <c r="AR39" s="1613"/>
      <c r="AS39" s="1613"/>
      <c r="AT39" s="1613"/>
      <c r="AU39" s="1613"/>
      <c r="AV39" s="1613"/>
      <c r="AW39" s="1613"/>
      <c r="AX39" s="1613"/>
      <c r="AY39" s="1613"/>
      <c r="AZ39" s="1613"/>
      <c r="BA39" s="1613"/>
      <c r="BB39" s="1613"/>
      <c r="BC39" s="1613"/>
      <c r="BD39" s="1613"/>
      <c r="BE39" s="1613"/>
      <c r="BF39" s="1613"/>
      <c r="BG39" s="1613"/>
      <c r="BH39" s="1613"/>
      <c r="BI39" s="1613"/>
      <c r="BJ39" s="1613"/>
      <c r="BK39" s="1613"/>
      <c r="BL39" s="1613"/>
      <c r="BM39" s="1613"/>
      <c r="BN39" s="1613"/>
      <c r="BO39" s="1613"/>
      <c r="BP39" s="1613"/>
      <c r="BQ39" s="1613"/>
      <c r="BR39" s="1613"/>
      <c r="BS39" s="1613"/>
      <c r="BT39" s="1613"/>
      <c r="BU39" s="1613"/>
      <c r="BV39" s="1613"/>
      <c r="BW39" s="1613"/>
      <c r="BX39" s="1613"/>
      <c r="BY39" s="1613"/>
      <c r="BZ39" s="1613"/>
      <c r="CA39" s="1613"/>
      <c r="CB39" s="1613"/>
      <c r="CC39" s="1613"/>
      <c r="CD39" s="1613"/>
      <c r="CE39" s="1613"/>
      <c r="CF39" s="1613"/>
      <c r="CG39" s="1535" t="s">
        <v>780</v>
      </c>
      <c r="CH39" s="1535"/>
      <c r="CI39" s="1535"/>
      <c r="CJ39" s="1535"/>
      <c r="CK39" s="1535"/>
      <c r="CL39" s="1535"/>
      <c r="CM39" s="1535"/>
      <c r="CN39" s="1535"/>
      <c r="CO39" s="1535"/>
      <c r="CP39" s="1535"/>
      <c r="CQ39" s="1535"/>
      <c r="CR39" s="1535"/>
      <c r="CS39" s="1535"/>
      <c r="CT39" s="1535"/>
      <c r="CU39" s="1535"/>
      <c r="CV39" s="1535"/>
      <c r="CW39" s="1535"/>
      <c r="CX39" s="1535"/>
      <c r="CY39" s="1535"/>
      <c r="CZ39" s="1535"/>
      <c r="DA39" s="1535"/>
      <c r="DB39" s="1535"/>
      <c r="DC39" s="1535"/>
      <c r="DD39" s="1535"/>
      <c r="DE39" s="1535" t="s">
        <v>740</v>
      </c>
      <c r="DF39" s="1535"/>
      <c r="DG39" s="1535"/>
      <c r="DH39" s="1535"/>
      <c r="DI39" s="1535"/>
      <c r="DJ39" s="1535"/>
      <c r="DK39" s="1535"/>
      <c r="DL39" s="1535"/>
      <c r="DM39" s="1535" t="s">
        <v>570</v>
      </c>
      <c r="DN39" s="1535"/>
      <c r="DO39" s="1535"/>
      <c r="DP39" s="1535"/>
      <c r="DQ39" s="1535"/>
      <c r="DR39" s="1535"/>
      <c r="DS39" s="1535"/>
      <c r="DT39" s="1535"/>
      <c r="DU39" s="1531" t="s">
        <v>408</v>
      </c>
      <c r="DV39" s="1532"/>
      <c r="DW39" s="1532"/>
      <c r="DX39" s="1532"/>
      <c r="DY39" s="1532"/>
      <c r="DZ39" s="1532"/>
      <c r="EA39" s="1532"/>
      <c r="EB39" s="1532"/>
      <c r="EC39" s="1532"/>
      <c r="ED39" s="1532"/>
      <c r="EE39" s="1532"/>
      <c r="EF39" s="1532"/>
      <c r="EG39" s="1532"/>
      <c r="EH39" s="1532"/>
      <c r="EI39" s="1532"/>
      <c r="EJ39" s="1532"/>
      <c r="EK39" s="1532"/>
      <c r="EL39" s="1532"/>
      <c r="EM39" s="1532"/>
      <c r="EN39" s="1532"/>
      <c r="EO39" s="1532"/>
      <c r="EP39" s="1532"/>
      <c r="EQ39" s="1532"/>
      <c r="ER39" s="1533"/>
      <c r="ES39" s="1535" t="s">
        <v>581</v>
      </c>
      <c r="ET39" s="1535"/>
      <c r="EU39" s="1535"/>
      <c r="EV39" s="1535"/>
      <c r="EW39" s="1535"/>
      <c r="EX39" s="1535"/>
      <c r="EY39" s="1535" t="s">
        <v>860</v>
      </c>
      <c r="EZ39" s="1535"/>
      <c r="FA39" s="1535"/>
      <c r="FB39" s="1535"/>
      <c r="FC39" s="1535"/>
      <c r="FD39" s="1535"/>
      <c r="FE39" s="1531" t="s">
        <v>636</v>
      </c>
      <c r="FF39" s="1532"/>
      <c r="FG39" s="1532"/>
      <c r="FH39" s="1532"/>
      <c r="FI39" s="1532"/>
      <c r="FJ39" s="1532"/>
      <c r="FK39" s="1532"/>
      <c r="FL39" s="1532"/>
      <c r="FM39" s="1532"/>
      <c r="FN39" s="1533"/>
      <c r="FO39" s="1535" t="s">
        <v>591</v>
      </c>
      <c r="FP39" s="1535"/>
      <c r="FQ39" s="1535"/>
      <c r="FR39" s="1535"/>
      <c r="FS39" s="1535"/>
      <c r="FT39" s="1535"/>
      <c r="FU39" s="1535" t="s">
        <v>365</v>
      </c>
      <c r="FV39" s="1535"/>
      <c r="FW39" s="1535"/>
      <c r="FX39" s="1535"/>
      <c r="FY39" s="1535"/>
      <c r="FZ39" s="1535"/>
      <c r="GA39" s="1531" t="s">
        <v>359</v>
      </c>
      <c r="GB39" s="1532"/>
      <c r="GC39" s="1532"/>
      <c r="GD39" s="1532"/>
      <c r="GE39" s="1532"/>
      <c r="GF39" s="1532"/>
      <c r="GG39" s="1532"/>
      <c r="GH39" s="1532"/>
      <c r="GI39" s="1532"/>
      <c r="GJ39" s="1532"/>
      <c r="GK39" s="1532"/>
      <c r="GL39" s="1532"/>
      <c r="GM39" s="1532"/>
      <c r="GN39" s="1532"/>
      <c r="GO39" s="1532"/>
      <c r="GP39" s="1532"/>
      <c r="GQ39" s="1532"/>
      <c r="GR39" s="1532"/>
      <c r="GS39" s="1532"/>
      <c r="GT39" s="1532"/>
      <c r="GU39" s="1532"/>
      <c r="GV39" s="1532"/>
      <c r="GW39" s="1532"/>
      <c r="GX39" s="1533"/>
      <c r="GY39" s="1531" t="s">
        <v>822</v>
      </c>
      <c r="GZ39" s="1532"/>
      <c r="HA39" s="1532"/>
      <c r="HB39" s="1532"/>
      <c r="HC39" s="1532"/>
      <c r="HD39" s="1533"/>
      <c r="HE39" s="1535" t="s">
        <v>705</v>
      </c>
      <c r="HF39" s="1535"/>
      <c r="HG39" s="1535"/>
      <c r="HH39" s="1535"/>
      <c r="HI39" s="1535"/>
      <c r="HJ39" s="1535"/>
      <c r="HK39" s="1535"/>
      <c r="HL39" s="1535"/>
      <c r="HM39" s="1535"/>
      <c r="HN39" s="1535"/>
      <c r="HO39" s="1535"/>
      <c r="HP39" s="1535"/>
      <c r="HQ39" s="1535"/>
      <c r="HR39" s="1535"/>
      <c r="HS39" s="1535"/>
      <c r="HT39" s="1535"/>
      <c r="HU39" s="1535"/>
      <c r="HV39" s="1535"/>
      <c r="HW39" s="1535"/>
      <c r="HX39" s="1535"/>
      <c r="HY39" s="1535"/>
      <c r="HZ39" s="1535"/>
      <c r="IA39" s="1535"/>
      <c r="IB39" s="1535"/>
      <c r="IC39" s="1535"/>
      <c r="ID39" s="1535"/>
      <c r="IE39" s="1535"/>
      <c r="IF39" s="1535"/>
      <c r="IG39" s="1535"/>
      <c r="IH39" s="1535"/>
      <c r="II39" s="1535"/>
      <c r="IJ39" s="1535"/>
      <c r="IK39" s="1535"/>
      <c r="IL39" s="1535"/>
      <c r="IM39" s="1535"/>
      <c r="IN39" s="1535"/>
      <c r="IO39" s="1535"/>
      <c r="IP39" s="1535"/>
      <c r="IQ39" s="1535"/>
      <c r="IR39" s="1535"/>
      <c r="IS39" s="1535"/>
      <c r="IT39" s="1535"/>
      <c r="IU39" s="1535"/>
      <c r="IV39" s="1535"/>
      <c r="IW39" s="1535"/>
      <c r="IX39" s="1535"/>
      <c r="IY39" s="1535"/>
      <c r="IZ39" s="1535"/>
      <c r="JA39" s="1535"/>
      <c r="JB39" s="1535"/>
      <c r="JC39" s="1535"/>
      <c r="JD39" s="1535"/>
      <c r="JE39" s="1535"/>
      <c r="JF39" s="1535"/>
      <c r="JG39" s="1535"/>
      <c r="JH39" s="1535"/>
      <c r="JI39" s="1535"/>
      <c r="JJ39" s="1535"/>
      <c r="JK39" s="1535"/>
      <c r="JL39" s="1535"/>
      <c r="JM39" s="1535"/>
      <c r="JN39" s="1535"/>
      <c r="JO39" s="1535"/>
      <c r="JP39" s="1535"/>
      <c r="JQ39" s="1535"/>
      <c r="JR39" s="1535"/>
      <c r="JS39" s="1535"/>
      <c r="JT39" s="1535"/>
      <c r="JU39" s="1535"/>
      <c r="JV39" s="1535"/>
      <c r="JW39" s="1535"/>
      <c r="JX39" s="1535"/>
      <c r="JY39" s="1531" t="s">
        <v>725</v>
      </c>
      <c r="JZ39" s="1532"/>
      <c r="KA39" s="1532"/>
      <c r="KB39" s="1532"/>
      <c r="KC39" s="1532"/>
      <c r="KD39" s="1532"/>
      <c r="KE39" s="1532"/>
      <c r="KF39" s="1532"/>
      <c r="KG39" s="1532"/>
      <c r="KH39" s="1533"/>
      <c r="KI39" s="1531" t="s">
        <v>754</v>
      </c>
      <c r="KJ39" s="1532"/>
      <c r="KK39" s="1532"/>
      <c r="KL39" s="1532"/>
      <c r="KM39" s="1532"/>
      <c r="KN39" s="1532"/>
      <c r="KO39" s="1532"/>
      <c r="KP39" s="1532"/>
      <c r="KQ39" s="1532"/>
      <c r="KR39" s="1532"/>
      <c r="KS39" s="1532"/>
      <c r="KT39" s="1532"/>
      <c r="KU39" s="1532"/>
      <c r="KV39" s="1532"/>
      <c r="KW39" s="1532"/>
      <c r="KX39" s="1532"/>
      <c r="KY39" s="1532"/>
      <c r="KZ39" s="1532"/>
      <c r="LA39" s="1532"/>
      <c r="LB39" s="1532"/>
      <c r="LC39" s="1532"/>
      <c r="LD39" s="1532"/>
      <c r="LE39" s="1532"/>
      <c r="LF39" s="1533"/>
      <c r="LG39" s="1531" t="s">
        <v>770</v>
      </c>
      <c r="LH39" s="1532"/>
      <c r="LI39" s="1532"/>
      <c r="LJ39" s="1532"/>
      <c r="LK39" s="1532"/>
      <c r="LL39" s="1532"/>
      <c r="LM39" s="1532"/>
      <c r="LN39" s="1532"/>
      <c r="LO39" s="1532"/>
      <c r="LP39" s="1532"/>
      <c r="LQ39" s="1532"/>
      <c r="LR39" s="1532"/>
      <c r="LS39" s="1532"/>
      <c r="LT39" s="1532"/>
      <c r="LU39" s="1532"/>
      <c r="LV39" s="1532"/>
      <c r="LW39" s="1532"/>
      <c r="LX39" s="1532"/>
      <c r="LY39" s="1532"/>
      <c r="LZ39" s="1532"/>
      <c r="MA39" s="1532"/>
      <c r="MB39" s="1532"/>
      <c r="MC39" s="1532"/>
      <c r="MD39" s="1532"/>
      <c r="ME39" s="1532"/>
      <c r="MF39" s="1532"/>
      <c r="MG39" s="1532"/>
      <c r="MH39" s="1532"/>
      <c r="MI39" s="1532"/>
      <c r="MJ39" s="1532"/>
      <c r="MK39" s="1532"/>
      <c r="ML39" s="1532"/>
      <c r="MM39" s="1532"/>
      <c r="MN39" s="1532"/>
      <c r="MO39" s="1532"/>
      <c r="MP39" s="1532"/>
      <c r="MQ39" s="1532"/>
      <c r="MR39" s="1532"/>
      <c r="MS39" s="1532"/>
      <c r="MT39" s="1532"/>
      <c r="MU39" s="634"/>
      <c r="MV39" s="634"/>
      <c r="MW39" s="634"/>
      <c r="MX39" s="1174"/>
      <c r="MY39" s="1531" t="s">
        <v>351</v>
      </c>
      <c r="MZ39" s="1532"/>
      <c r="NA39" s="1532"/>
      <c r="NB39" s="1532"/>
      <c r="NC39" s="1532"/>
      <c r="ND39" s="1532"/>
      <c r="NE39" s="1532"/>
      <c r="NF39" s="1532"/>
      <c r="NG39" s="1532"/>
      <c r="NH39" s="1532"/>
      <c r="NI39" s="1532"/>
      <c r="NJ39" s="1532"/>
      <c r="NK39" s="1532"/>
      <c r="NL39" s="1532"/>
      <c r="NM39" s="1532"/>
      <c r="NN39" s="1532"/>
      <c r="NO39" s="1532"/>
      <c r="NP39" s="1532"/>
      <c r="NQ39" s="1532"/>
      <c r="NR39" s="1532"/>
      <c r="NS39" s="634"/>
      <c r="NT39" s="1174"/>
      <c r="NU39" s="1535" t="s">
        <v>779</v>
      </c>
      <c r="NV39" s="1535"/>
      <c r="NW39" s="1535"/>
      <c r="NX39" s="1535"/>
      <c r="NY39" s="1535"/>
      <c r="NZ39" s="1535"/>
      <c r="OA39" s="1535"/>
      <c r="OB39" s="1535"/>
      <c r="OC39" s="1535"/>
      <c r="OD39" s="1535"/>
      <c r="OE39" s="1535"/>
      <c r="OF39" s="1535"/>
      <c r="OG39" s="1535"/>
      <c r="OH39" s="1535"/>
      <c r="OI39" s="1535"/>
      <c r="OJ39" s="1535"/>
      <c r="OK39" s="1535"/>
      <c r="OL39" s="1535"/>
      <c r="OM39" s="1535"/>
      <c r="ON39" s="1535"/>
      <c r="OO39" s="1535"/>
      <c r="OP39" s="1535"/>
      <c r="OQ39" s="634"/>
      <c r="OR39" s="634"/>
      <c r="OS39" s="1535" t="s">
        <v>793</v>
      </c>
      <c r="OT39" s="1535"/>
      <c r="OU39" s="1535"/>
      <c r="OV39" s="1535"/>
      <c r="OW39" s="1535"/>
      <c r="OX39" s="1535"/>
      <c r="OY39" s="1535"/>
      <c r="OZ39" s="1535"/>
      <c r="PA39" s="1535"/>
      <c r="PB39" s="1535"/>
      <c r="PC39" s="1535"/>
      <c r="PD39" s="1535"/>
      <c r="PE39" s="1535"/>
      <c r="PF39" s="1535"/>
      <c r="PG39" s="1535"/>
      <c r="PH39" s="1535"/>
      <c r="PI39" s="1535"/>
      <c r="PJ39" s="1535"/>
      <c r="PK39" s="1535"/>
      <c r="PL39" s="1535"/>
      <c r="PM39" s="1535"/>
      <c r="PN39" s="1535"/>
      <c r="PO39" s="1535"/>
      <c r="PP39" s="1535"/>
      <c r="PQ39" s="1535"/>
      <c r="PR39" s="1535"/>
      <c r="PS39" s="1535"/>
      <c r="PT39" s="1535"/>
      <c r="PU39" s="1535"/>
      <c r="PV39" s="1535"/>
      <c r="PW39" s="1535"/>
      <c r="PX39" s="1535"/>
      <c r="PY39" s="1535"/>
      <c r="PZ39" s="1535"/>
      <c r="QA39" s="1535"/>
      <c r="QB39" s="1535"/>
      <c r="QC39" s="1535"/>
      <c r="QD39" s="1535"/>
      <c r="QE39" s="1535"/>
      <c r="QF39" s="1535"/>
      <c r="QG39" s="1535"/>
      <c r="QH39" s="1535"/>
      <c r="QI39" s="1535"/>
      <c r="QJ39" s="1535"/>
      <c r="QK39" s="1535"/>
      <c r="QL39" s="1535"/>
      <c r="QM39" s="1535"/>
      <c r="QN39" s="1535"/>
      <c r="QO39" s="1535"/>
      <c r="QP39" s="1535"/>
      <c r="QQ39" s="1535"/>
      <c r="QR39" s="1535"/>
      <c r="QS39" s="1535"/>
      <c r="QT39" s="1535"/>
      <c r="QU39" s="1535"/>
      <c r="QV39" s="1535"/>
      <c r="QW39" s="1535"/>
      <c r="QX39" s="1535"/>
      <c r="QY39" s="1535"/>
      <c r="QZ39" s="1535"/>
      <c r="RA39" s="1535"/>
      <c r="RB39" s="1535"/>
      <c r="RC39" s="1535"/>
      <c r="RD39" s="1535"/>
      <c r="RE39" s="1535"/>
      <c r="RF39" s="1535"/>
      <c r="RG39" s="1535"/>
      <c r="RH39" s="1535"/>
      <c r="RI39" s="1535" t="s">
        <v>629</v>
      </c>
      <c r="RJ39" s="1535"/>
      <c r="RK39" s="1531" t="s">
        <v>867</v>
      </c>
      <c r="RL39" s="1533"/>
      <c r="RM39" s="1531" t="s">
        <v>769</v>
      </c>
      <c r="RN39" s="1532"/>
      <c r="RO39" s="1532"/>
      <c r="RP39" s="1532"/>
      <c r="RQ39" s="1532"/>
      <c r="RR39" s="1533"/>
      <c r="RS39" s="223"/>
      <c r="RT39" s="223"/>
      <c r="RU39" s="223"/>
      <c r="RV39" s="224">
        <f>SUM('Проверочная  таблица'!RY38:SV38)-RV38</f>
        <v>0</v>
      </c>
      <c r="RW39" s="225"/>
      <c r="RX39" s="226"/>
      <c r="RY39" s="1531" t="s">
        <v>713</v>
      </c>
      <c r="RZ39" s="1533"/>
      <c r="SA39" s="1531" t="s">
        <v>207</v>
      </c>
      <c r="SB39" s="1533"/>
      <c r="SC39" s="1531" t="s">
        <v>206</v>
      </c>
      <c r="SD39" s="1533"/>
      <c r="SE39" s="1531" t="s">
        <v>193</v>
      </c>
      <c r="SF39" s="1533"/>
      <c r="SG39" s="1531" t="s">
        <v>194</v>
      </c>
      <c r="SH39" s="1533"/>
      <c r="SI39" s="1531" t="s">
        <v>237</v>
      </c>
      <c r="SJ39" s="1533"/>
      <c r="SK39" s="1531" t="s">
        <v>192</v>
      </c>
      <c r="SL39" s="1533"/>
      <c r="SM39" s="1531" t="s">
        <v>357</v>
      </c>
      <c r="SN39" s="1533"/>
      <c r="SO39" s="1531" t="s">
        <v>235</v>
      </c>
      <c r="SP39" s="1533"/>
      <c r="SQ39" s="1535" t="s">
        <v>210</v>
      </c>
      <c r="SR39" s="1535"/>
      <c r="SS39" s="1535"/>
      <c r="ST39" s="1535"/>
      <c r="SU39" s="1535"/>
      <c r="SV39" s="1535"/>
      <c r="SW39" s="242"/>
      <c r="SX39" s="242"/>
      <c r="SY39" s="1531" t="s">
        <v>811</v>
      </c>
      <c r="SZ39" s="1532"/>
      <c r="TA39" s="1532"/>
      <c r="TB39" s="1532"/>
      <c r="TC39" s="1532"/>
      <c r="TD39" s="1532"/>
      <c r="TE39" s="1532"/>
      <c r="TF39" s="1532"/>
      <c r="TG39" s="1532"/>
      <c r="TH39" s="1532"/>
      <c r="TI39" s="1532"/>
      <c r="TJ39" s="1532"/>
      <c r="TK39" s="1532"/>
      <c r="TL39" s="1532"/>
      <c r="TM39" s="1532"/>
      <c r="TN39" s="1532"/>
      <c r="TO39" s="1532"/>
      <c r="TP39" s="1533"/>
      <c r="TQ39" s="1531" t="s">
        <v>797</v>
      </c>
      <c r="TR39" s="1532"/>
      <c r="TS39" s="1532"/>
      <c r="TT39" s="1532"/>
      <c r="TU39" s="1532"/>
      <c r="TV39" s="1532"/>
      <c r="TW39" s="1532"/>
      <c r="TX39" s="1532"/>
      <c r="TY39" s="1532"/>
      <c r="TZ39" s="1532"/>
      <c r="UA39" s="1532"/>
      <c r="UB39" s="1533"/>
      <c r="UC39" s="1531" t="s">
        <v>532</v>
      </c>
      <c r="UD39" s="1532"/>
      <c r="UE39" s="1532"/>
      <c r="UF39" s="1532"/>
      <c r="UG39" s="1532"/>
      <c r="UH39" s="1532"/>
      <c r="UI39" s="1532"/>
      <c r="UJ39" s="1532"/>
      <c r="UK39" s="1532"/>
      <c r="UL39" s="1532"/>
      <c r="UM39" s="1532"/>
      <c r="UN39" s="1532"/>
      <c r="UO39" s="1532"/>
      <c r="UP39" s="1532"/>
      <c r="UQ39" s="1532"/>
      <c r="UR39" s="1532"/>
      <c r="US39" s="1531" t="s">
        <v>537</v>
      </c>
      <c r="UT39" s="1532"/>
      <c r="UU39" s="1532"/>
      <c r="UV39" s="1532"/>
      <c r="UW39" s="1532"/>
      <c r="UX39" s="1533"/>
      <c r="UY39" s="1535" t="s">
        <v>528</v>
      </c>
      <c r="UZ39" s="1535"/>
      <c r="VA39" s="1535"/>
      <c r="VB39" s="1535"/>
      <c r="VC39" s="1535"/>
      <c r="VD39" s="1535"/>
      <c r="VE39" s="1535"/>
      <c r="VF39" s="1535"/>
      <c r="VG39" s="1535"/>
      <c r="VH39" s="1535"/>
      <c r="VI39" s="1535"/>
      <c r="VJ39" s="1535"/>
      <c r="VK39" s="1535"/>
      <c r="VL39" s="1535"/>
      <c r="VM39" s="1535"/>
      <c r="VN39" s="1535"/>
      <c r="VO39" s="1167"/>
      <c r="VP39" s="227"/>
      <c r="VQ39" s="1537">
        <v>540</v>
      </c>
      <c r="VR39" s="1538"/>
      <c r="VS39" s="1538"/>
      <c r="VT39" s="1538"/>
      <c r="VU39" s="1538"/>
      <c r="VV39" s="1538"/>
      <c r="VW39" s="1538"/>
      <c r="VX39" s="1539"/>
      <c r="VY39" s="1585">
        <v>640</v>
      </c>
      <c r="VZ39" s="1585"/>
      <c r="WA39" s="1585"/>
      <c r="WB39" s="1585"/>
      <c r="WC39" s="1585"/>
      <c r="WD39" s="1585"/>
      <c r="WE39" s="1585"/>
      <c r="WF39" s="1585"/>
      <c r="WG39" s="218"/>
      <c r="WH39" s="218"/>
    </row>
    <row r="40" spans="1:607" s="388" customFormat="1" ht="17.399999999999999" x14ac:dyDescent="0.3">
      <c r="A40" s="218"/>
      <c r="B40" s="218"/>
      <c r="C40" s="1238">
        <f>C39-C37</f>
        <v>0</v>
      </c>
      <c r="D40" s="227"/>
      <c r="E40" s="220" t="s">
        <v>67</v>
      </c>
      <c r="F40" s="1202">
        <v>179690900</v>
      </c>
      <c r="G40" s="1507">
        <v>155949669.97</v>
      </c>
      <c r="I40" s="220"/>
      <c r="J40" s="220"/>
      <c r="K40" s="220"/>
      <c r="L40" s="220"/>
      <c r="M40" s="220"/>
      <c r="N40" s="220"/>
      <c r="O40" s="220"/>
      <c r="P40" s="220"/>
      <c r="Q40" s="218"/>
      <c r="R40" s="218"/>
      <c r="S40" s="218"/>
      <c r="T40" s="218"/>
      <c r="U40" s="218"/>
      <c r="V40" s="236"/>
      <c r="W40" s="218"/>
      <c r="X40" s="218"/>
      <c r="Y40" s="218"/>
      <c r="Z40" s="218"/>
      <c r="AA40" s="236"/>
      <c r="AB40" s="218"/>
      <c r="AC40" s="236"/>
      <c r="AD40" s="236"/>
      <c r="AE40" s="236"/>
      <c r="AF40" s="236"/>
      <c r="AG40" s="236"/>
      <c r="AH40" s="236"/>
      <c r="AI40" s="220" t="s">
        <v>135</v>
      </c>
      <c r="AJ40" s="994">
        <v>4422866173.8400002</v>
      </c>
      <c r="AK40" s="1006"/>
      <c r="AL40" s="239"/>
      <c r="AM40" s="239"/>
      <c r="AN40" s="239"/>
      <c r="AO40" s="239"/>
      <c r="AP40" s="239"/>
      <c r="AQ40" s="1006"/>
      <c r="AR40" s="1090">
        <v>22763727.43</v>
      </c>
      <c r="AS40" s="1090">
        <v>778816206.07000005</v>
      </c>
      <c r="AT40" s="1090">
        <v>0</v>
      </c>
      <c r="AU40" s="1090">
        <v>0</v>
      </c>
      <c r="AV40" s="1090">
        <v>0</v>
      </c>
      <c r="AW40" s="1006"/>
      <c r="AX40" s="238"/>
      <c r="AY40" s="238"/>
      <c r="AZ40" s="238"/>
      <c r="BA40" s="238"/>
      <c r="BB40" s="238"/>
      <c r="BC40" s="1006"/>
      <c r="BD40" s="238"/>
      <c r="BE40" s="238"/>
      <c r="BF40" s="1090">
        <v>6037170.2999999998</v>
      </c>
      <c r="BG40" s="1010"/>
      <c r="BH40" s="1010"/>
      <c r="BI40" s="1006"/>
      <c r="BJ40" s="1006"/>
      <c r="BK40" s="1006"/>
      <c r="BL40" s="1006"/>
      <c r="BM40" s="1006"/>
      <c r="BN40" s="1006"/>
      <c r="BO40" s="1006"/>
      <c r="BP40" s="1006"/>
      <c r="BQ40" s="1006"/>
      <c r="BR40" s="1006"/>
      <c r="BS40" s="1006"/>
      <c r="BT40" s="1006"/>
      <c r="BU40" s="1006"/>
      <c r="BV40" s="1006"/>
      <c r="BW40" s="1006"/>
      <c r="BX40" s="1006"/>
      <c r="BY40" s="1006"/>
      <c r="BZ40" s="1006"/>
      <c r="CA40" s="1006"/>
      <c r="CB40" s="1006"/>
      <c r="CC40" s="1006"/>
      <c r="CD40" s="1006"/>
      <c r="CE40" s="1006"/>
      <c r="CF40" s="1006"/>
      <c r="CG40" s="239"/>
      <c r="CH40" s="239"/>
      <c r="CI40" s="239"/>
      <c r="CJ40" s="239"/>
      <c r="CK40" s="265"/>
      <c r="CL40" s="239"/>
      <c r="CM40" s="1090">
        <v>28947701.23</v>
      </c>
      <c r="CN40" s="1090">
        <v>358501270.31</v>
      </c>
      <c r="CO40" s="1090">
        <v>10256662.810000001</v>
      </c>
      <c r="CP40" s="1090">
        <v>212823632.66999999</v>
      </c>
      <c r="CQ40" s="239"/>
      <c r="CR40" s="239"/>
      <c r="CS40" s="239"/>
      <c r="CT40" s="239"/>
      <c r="CU40" s="265"/>
      <c r="CV40" s="239"/>
      <c r="CW40" s="239"/>
      <c r="CX40" s="239"/>
      <c r="CY40" s="239"/>
      <c r="CZ40" s="265"/>
      <c r="DA40" s="265"/>
      <c r="DB40" s="265"/>
      <c r="DC40" s="265"/>
      <c r="DD40" s="265"/>
      <c r="DE40" s="220"/>
      <c r="DF40" s="1090">
        <v>115229040.47</v>
      </c>
      <c r="DG40" s="220"/>
      <c r="DH40" s="220"/>
      <c r="DI40" s="220"/>
      <c r="DJ40" s="220"/>
      <c r="DK40" s="220"/>
      <c r="DL40" s="220"/>
      <c r="DM40" s="220"/>
      <c r="DN40" s="1090">
        <v>6064686.3499999996</v>
      </c>
      <c r="DO40" s="220"/>
      <c r="DP40" s="220"/>
      <c r="DQ40" s="220"/>
      <c r="DR40" s="220"/>
      <c r="DS40" s="220"/>
      <c r="DT40" s="220"/>
      <c r="DU40" s="268"/>
      <c r="DV40" s="268"/>
      <c r="DW40" s="268"/>
      <c r="DX40" s="268"/>
      <c r="DY40" s="268"/>
      <c r="DZ40" s="268"/>
      <c r="EA40" s="268"/>
      <c r="EB40" s="268"/>
      <c r="EC40" s="268"/>
      <c r="ED40" s="1090">
        <v>2022579.86</v>
      </c>
      <c r="EE40" s="1306">
        <f t="shared" ref="EE40" si="431">EE41-EF40</f>
        <v>0</v>
      </c>
      <c r="EF40" s="1309"/>
      <c r="EG40" s="1306">
        <f t="shared" ref="EG40" si="432">EG41-EH40</f>
        <v>0</v>
      </c>
      <c r="EH40" s="1309"/>
      <c r="EI40" s="1090">
        <v>1374242.3</v>
      </c>
      <c r="EJ40" s="1090">
        <v>1800000</v>
      </c>
      <c r="EK40" s="1010"/>
      <c r="EL40" s="1010"/>
      <c r="EM40" s="1010"/>
      <c r="EN40" s="1010"/>
      <c r="EO40" s="1010"/>
      <c r="EP40" s="1010"/>
      <c r="EQ40" s="1010"/>
      <c r="ER40" s="1010"/>
      <c r="ES40" s="239"/>
      <c r="ET40" s="239"/>
      <c r="EU40" s="239"/>
      <c r="EV40" s="239"/>
      <c r="EW40" s="1306">
        <f t="shared" ref="EW40" si="433">EW41-EX40</f>
        <v>0</v>
      </c>
      <c r="EX40" s="1309"/>
      <c r="EY40" s="239"/>
      <c r="EZ40" s="239"/>
      <c r="FA40" s="239"/>
      <c r="FB40" s="239"/>
      <c r="FC40" s="1306">
        <f t="shared" ref="FC40" si="434">FC41-FD40</f>
        <v>0</v>
      </c>
      <c r="FD40" s="1309"/>
      <c r="FE40" s="239"/>
      <c r="FF40" s="239"/>
      <c r="FG40" s="239"/>
      <c r="FH40" s="239"/>
      <c r="FI40" s="239"/>
      <c r="FJ40" s="239"/>
      <c r="FK40" s="1306">
        <f t="shared" ref="FK40" si="435">FK41-FL40</f>
        <v>143220</v>
      </c>
      <c r="FL40" s="1309">
        <v>2721180</v>
      </c>
      <c r="FM40" s="1306">
        <f t="shared" ref="FM40" si="436">FM41-FN40</f>
        <v>736842.1099999994</v>
      </c>
      <c r="FN40" s="1309">
        <v>14000000</v>
      </c>
      <c r="FO40" s="1010"/>
      <c r="FP40" s="1010"/>
      <c r="FQ40" s="1010"/>
      <c r="FR40" s="1010"/>
      <c r="FS40" s="1306">
        <f t="shared" ref="FS40" si="437">FS41-FT40</f>
        <v>1590865.1500000022</v>
      </c>
      <c r="FT40" s="1309">
        <v>30226436.699999999</v>
      </c>
      <c r="FU40" s="1010"/>
      <c r="FV40" s="1010"/>
      <c r="FW40" s="1010"/>
      <c r="FX40" s="1010"/>
      <c r="FY40" s="1306">
        <f t="shared" ref="FY40" si="438">FY41-FZ40</f>
        <v>1492266.0600000005</v>
      </c>
      <c r="FZ40" s="1309">
        <v>3837218.05</v>
      </c>
      <c r="GE40" s="1306">
        <f t="shared" ref="GE40" si="439">GE41-GF40</f>
        <v>6975924.9400000013</v>
      </c>
      <c r="GF40" s="1309">
        <v>17937970.48</v>
      </c>
      <c r="HE40" s="252"/>
      <c r="HF40" s="252"/>
      <c r="HG40" s="252"/>
      <c r="HH40" s="252"/>
      <c r="HI40" s="252"/>
      <c r="HJ40" s="252"/>
      <c r="HK40" s="252"/>
      <c r="HL40" s="252"/>
      <c r="HM40" s="252"/>
      <c r="HN40" s="252"/>
      <c r="HO40" s="1306">
        <f t="shared" ref="HO40" si="440">HO41-HP40</f>
        <v>3128780.05</v>
      </c>
      <c r="HP40" s="1309">
        <v>8044658.96</v>
      </c>
      <c r="HQ40" s="1306">
        <f t="shared" ref="HQ40" si="441">HQ41-HR40</f>
        <v>3000000.01</v>
      </c>
      <c r="HR40" s="1309">
        <v>342499.99</v>
      </c>
      <c r="HS40" s="1306">
        <f t="shared" ref="HS40" si="442">HS41-HT40</f>
        <v>200000</v>
      </c>
      <c r="HT40" s="1309">
        <v>240900</v>
      </c>
      <c r="HU40" s="1306">
        <f t="shared" ref="HU40" si="443">HU41-HV40</f>
        <v>0</v>
      </c>
      <c r="HV40" s="1309"/>
      <c r="HW40" s="252"/>
      <c r="HX40" s="252"/>
      <c r="HY40" s="252"/>
      <c r="HZ40" s="252"/>
      <c r="IA40" s="252"/>
      <c r="IB40" s="252"/>
      <c r="IC40" s="252"/>
      <c r="ID40" s="252"/>
      <c r="IE40" s="252"/>
      <c r="IF40" s="252"/>
      <c r="IG40" s="252"/>
      <c r="IH40" s="252"/>
      <c r="II40" s="252"/>
      <c r="IJ40" s="252"/>
      <c r="IK40" s="252"/>
      <c r="IL40" s="252"/>
      <c r="IM40" s="252"/>
      <c r="IN40" s="252"/>
      <c r="IO40" s="241"/>
      <c r="IP40" s="1133"/>
      <c r="IQ40" s="1133"/>
      <c r="IR40" s="241"/>
      <c r="IS40" s="241"/>
      <c r="IT40" s="241"/>
      <c r="IU40" s="241"/>
      <c r="IV40" s="241"/>
      <c r="IW40" s="241"/>
      <c r="IX40" s="241"/>
      <c r="IY40" s="1133"/>
      <c r="IZ40" s="1133"/>
      <c r="JA40" s="241"/>
      <c r="JB40" s="241"/>
      <c r="JC40" s="241"/>
      <c r="JD40" s="241"/>
      <c r="JE40" s="241"/>
      <c r="JF40" s="241"/>
      <c r="JG40" s="241"/>
      <c r="JH40" s="1133"/>
      <c r="JI40" s="1133"/>
      <c r="JJ40" s="241"/>
      <c r="JK40" s="241"/>
      <c r="JL40" s="241"/>
      <c r="JM40" s="241"/>
      <c r="JN40" s="241"/>
      <c r="JO40" s="241"/>
      <c r="JP40" s="241"/>
      <c r="JQ40" s="1133"/>
      <c r="JR40" s="1133"/>
      <c r="JS40" s="241"/>
      <c r="JT40" s="241"/>
      <c r="JU40" s="241"/>
      <c r="JV40" s="241"/>
      <c r="JW40" s="241"/>
      <c r="JX40" s="241"/>
      <c r="JY40" s="241"/>
      <c r="JZ40" s="241"/>
      <c r="KA40" s="241"/>
      <c r="KB40" s="1177"/>
      <c r="KC40" s="1226"/>
      <c r="KD40" s="241"/>
      <c r="KE40" s="1306">
        <f t="shared" ref="KE40" si="444">KE41-KF40</f>
        <v>63189461.780000001</v>
      </c>
      <c r="KF40" s="1309">
        <v>162487203.78999999</v>
      </c>
      <c r="KG40" s="1306">
        <f t="shared" ref="KG40" si="445">KG41-KH40</f>
        <v>2663070.88</v>
      </c>
      <c r="KH40" s="1309">
        <v>6847889.1200000001</v>
      </c>
      <c r="KI40" s="241"/>
      <c r="KJ40" s="241"/>
      <c r="KK40" s="1192"/>
      <c r="KL40" s="1276"/>
      <c r="KM40" s="239"/>
      <c r="KN40" s="239"/>
      <c r="KO40" s="241"/>
      <c r="KP40" s="1090">
        <v>11100000</v>
      </c>
      <c r="KQ40" s="1306">
        <f t="shared" ref="KQ40" si="446">KQ41-KR40</f>
        <v>10862245.34</v>
      </c>
      <c r="KR40" s="1309">
        <v>27931487.989999998</v>
      </c>
      <c r="KS40" s="1306">
        <f t="shared" ref="KS40" si="447">KS41-KT40</f>
        <v>0</v>
      </c>
      <c r="KT40" s="1307"/>
      <c r="KU40" s="265"/>
      <c r="KV40" s="265"/>
      <c r="KW40" s="265"/>
      <c r="KX40" s="265"/>
      <c r="KY40" s="265"/>
      <c r="KZ40" s="1090">
        <v>4899457.66</v>
      </c>
      <c r="LA40" s="1306">
        <f t="shared" ref="LA40" si="448">LA41-LB40</f>
        <v>0</v>
      </c>
      <c r="LB40" s="1307"/>
      <c r="LC40" s="265"/>
      <c r="LD40" s="265"/>
      <c r="LE40" s="265"/>
      <c r="LF40" s="265"/>
      <c r="LO40" s="1306">
        <f t="shared" ref="LO40" si="449">LO41-LP40</f>
        <v>1467412.1400000006</v>
      </c>
      <c r="LP40" s="1309">
        <v>27880830.739999998</v>
      </c>
      <c r="LQ40" s="1306">
        <f t="shared" ref="LQ40" si="450">LQ41-LR40</f>
        <v>3755907.2800000012</v>
      </c>
      <c r="LR40" s="1309">
        <v>71362238.319999993</v>
      </c>
      <c r="LS40" s="1306">
        <f t="shared" ref="LS40" si="451">LS41-LT40</f>
        <v>0</v>
      </c>
      <c r="LT40" s="1307"/>
      <c r="MY40" s="724"/>
      <c r="MZ40" s="239"/>
      <c r="NA40" s="239"/>
      <c r="NB40" s="239"/>
      <c r="NC40" s="239"/>
      <c r="ND40" s="239"/>
      <c r="NE40" s="239"/>
      <c r="NF40" s="239"/>
      <c r="NG40" s="1306">
        <f>NG41-NH40</f>
        <v>543194.63000000012</v>
      </c>
      <c r="NH40" s="1309">
        <v>1396786.19</v>
      </c>
      <c r="NI40" s="239"/>
      <c r="NJ40" s="239"/>
      <c r="NK40" s="239"/>
      <c r="NL40" s="239"/>
      <c r="NM40" s="239"/>
      <c r="NN40" s="239"/>
      <c r="NO40" s="239"/>
      <c r="NP40" s="239"/>
      <c r="NQ40" s="239"/>
      <c r="NR40" s="239"/>
      <c r="NS40" s="239"/>
      <c r="NT40" s="239"/>
      <c r="NU40" s="239"/>
      <c r="NV40" s="239"/>
      <c r="NW40" s="239"/>
      <c r="NX40" s="239"/>
      <c r="NY40" s="1011"/>
      <c r="NZ40" s="1011"/>
      <c r="OA40" s="238"/>
      <c r="OD40" s="238"/>
      <c r="OG40" s="252"/>
      <c r="OH40" s="252"/>
      <c r="OI40" s="252"/>
      <c r="OJ40" s="252"/>
      <c r="OK40" s="252"/>
      <c r="OL40" s="252"/>
      <c r="OM40" s="252"/>
      <c r="ON40" s="252"/>
      <c r="OO40" s="252"/>
      <c r="OP40" s="252"/>
      <c r="OQ40" s="252"/>
      <c r="OR40" s="252"/>
      <c r="OS40" s="239"/>
      <c r="OT40" s="239"/>
      <c r="OU40" s="239"/>
      <c r="OV40" s="239"/>
      <c r="OW40" s="239"/>
      <c r="OX40" s="239"/>
      <c r="OY40" s="239"/>
      <c r="OZ40" s="239"/>
      <c r="PA40" s="1306">
        <f>PA41-PB40</f>
        <v>1250756.4800000004</v>
      </c>
      <c r="PB40" s="1309">
        <v>3216230.96</v>
      </c>
      <c r="PC40" s="1308">
        <f>PC41-PD40</f>
        <v>0</v>
      </c>
      <c r="PD40" s="1307"/>
      <c r="PE40" s="1308">
        <f>PE41-PF40</f>
        <v>9432992.129999999</v>
      </c>
      <c r="PF40" s="1309">
        <v>14824760.800000001</v>
      </c>
      <c r="PG40" s="239"/>
      <c r="PH40" s="239"/>
      <c r="PI40" s="239"/>
      <c r="PJ40" s="239"/>
      <c r="PK40" s="239"/>
      <c r="PL40" s="238"/>
      <c r="PM40" s="238"/>
      <c r="PN40" s="239"/>
      <c r="PO40" s="239"/>
      <c r="PP40" s="239"/>
      <c r="PQ40" s="1306">
        <f>PQ41-PR40</f>
        <v>9437667.6100000031</v>
      </c>
      <c r="PR40" s="1373">
        <v>24268288.16</v>
      </c>
      <c r="PS40" s="239"/>
      <c r="PT40" s="239"/>
      <c r="PU40" s="267"/>
      <c r="PV40" s="267"/>
      <c r="PW40" s="239"/>
      <c r="PX40" s="239"/>
      <c r="PY40" s="239"/>
      <c r="PZ40" s="239"/>
      <c r="QA40" s="239"/>
      <c r="QB40" s="239"/>
      <c r="QC40" s="239"/>
      <c r="QD40" s="239"/>
      <c r="QE40" s="239"/>
      <c r="QF40" s="239"/>
      <c r="QG40" s="239"/>
      <c r="QH40" s="239"/>
      <c r="QI40" s="239"/>
      <c r="QJ40" s="239"/>
      <c r="QK40" s="239"/>
      <c r="QL40" s="239"/>
      <c r="QM40" s="239"/>
      <c r="QN40" s="239"/>
      <c r="QO40" s="239"/>
      <c r="QP40" s="239"/>
      <c r="QQ40" s="239"/>
      <c r="QR40" s="239"/>
      <c r="QS40" s="239"/>
      <c r="QT40" s="239"/>
      <c r="QU40" s="239"/>
      <c r="QV40" s="239"/>
      <c r="QW40" s="239"/>
      <c r="QX40" s="239"/>
      <c r="QY40" s="239"/>
      <c r="QZ40" s="239"/>
      <c r="RA40" s="239"/>
      <c r="RB40" s="239"/>
      <c r="RC40" s="239"/>
      <c r="RD40" s="239"/>
      <c r="RE40" s="239"/>
      <c r="RF40" s="239"/>
      <c r="RG40" s="239"/>
      <c r="RH40" s="239"/>
      <c r="RJ40" s="1490">
        <v>370000000</v>
      </c>
      <c r="RK40" s="220"/>
      <c r="RL40" s="220"/>
      <c r="RM40" s="220"/>
      <c r="RN40" s="220"/>
      <c r="RO40" s="220"/>
      <c r="RP40" s="220"/>
      <c r="RQ40" s="220"/>
      <c r="RR40" s="220"/>
      <c r="RS40" s="227"/>
      <c r="RT40" s="218"/>
      <c r="RU40" s="218"/>
      <c r="RV40" s="221"/>
      <c r="RW40" s="218"/>
      <c r="RX40" s="221"/>
      <c r="RY40" s="241"/>
      <c r="RZ40" s="241"/>
      <c r="SA40" s="241"/>
      <c r="SB40" s="241"/>
      <c r="SC40" s="241"/>
      <c r="SD40" s="241"/>
      <c r="SE40" s="220"/>
      <c r="SF40" s="240"/>
      <c r="SG40" s="220"/>
      <c r="SH40" s="220"/>
      <c r="SI40" s="240"/>
      <c r="SJ40" s="240"/>
      <c r="SK40" s="220"/>
      <c r="SL40" s="220"/>
      <c r="SM40" s="220"/>
      <c r="SN40" s="220"/>
      <c r="SO40" s="399"/>
      <c r="SP40" s="399"/>
      <c r="SQ40" s="220"/>
      <c r="SR40" s="220"/>
      <c r="SS40" s="220"/>
      <c r="ST40" s="220"/>
      <c r="SU40" s="220"/>
      <c r="SV40" s="220"/>
      <c r="SW40" s="220"/>
      <c r="SX40" s="220"/>
      <c r="SY40" s="220"/>
      <c r="SZ40" s="220"/>
      <c r="TA40" s="220"/>
      <c r="TB40" s="220"/>
      <c r="TC40" s="220"/>
      <c r="TD40" s="220"/>
      <c r="TE40" s="220"/>
      <c r="TF40" s="220"/>
      <c r="TG40" s="220"/>
      <c r="TH40" s="220"/>
      <c r="TI40" s="1182">
        <f>TI41-TJ40</f>
        <v>54009415.780000001</v>
      </c>
      <c r="TJ40" s="1373">
        <v>138881353.33000001</v>
      </c>
      <c r="TK40" s="1182">
        <f>TK41-TL40</f>
        <v>26684624.640000001</v>
      </c>
      <c r="TL40" s="1373">
        <v>68617677.549999997</v>
      </c>
      <c r="TM40" s="1182">
        <f>TM41-TN40</f>
        <v>3208889.01</v>
      </c>
      <c r="TN40" s="1373">
        <v>8251410.75</v>
      </c>
      <c r="TO40" s="1293"/>
      <c r="TP40" s="994">
        <v>15735926.300000001</v>
      </c>
      <c r="TQ40" s="1469"/>
      <c r="TR40" s="1006"/>
      <c r="TS40" s="220"/>
      <c r="TT40" s="994">
        <v>140761606.75999999</v>
      </c>
      <c r="TU40" s="1006"/>
      <c r="TV40" s="1006"/>
      <c r="TW40" s="1006"/>
      <c r="TX40" s="1006"/>
      <c r="TY40" s="1006"/>
      <c r="TZ40" s="1006"/>
      <c r="UA40" s="1006"/>
      <c r="UC40" s="220"/>
      <c r="UD40" s="220"/>
      <c r="UE40" s="220"/>
      <c r="UG40" s="725"/>
      <c r="UH40" s="994">
        <v>411530503.02999997</v>
      </c>
      <c r="UI40" s="220"/>
      <c r="UJ40" s="220"/>
      <c r="UK40" s="220"/>
      <c r="UL40" s="220"/>
      <c r="UM40" s="220"/>
      <c r="UN40" s="220"/>
      <c r="UO40" s="220"/>
      <c r="UP40" s="220"/>
      <c r="UQ40" s="220"/>
      <c r="UR40" s="220"/>
      <c r="US40" s="220"/>
      <c r="UT40" s="220"/>
      <c r="UU40" s="220"/>
      <c r="UV40" s="220"/>
      <c r="UW40" s="220"/>
      <c r="UX40" s="220"/>
      <c r="UY40" s="252"/>
      <c r="UZ40" s="252"/>
      <c r="VA40" s="252"/>
      <c r="VB40" s="356"/>
      <c r="VC40" s="242"/>
      <c r="VD40" s="242"/>
      <c r="VE40" s="242"/>
      <c r="VF40" s="356"/>
      <c r="VG40" s="242"/>
      <c r="VH40" s="242"/>
      <c r="VI40" s="242"/>
      <c r="VJ40" s="242"/>
      <c r="VK40" s="242"/>
      <c r="VL40" s="242"/>
      <c r="VM40" s="242"/>
      <c r="VN40" s="242"/>
      <c r="VO40" s="227"/>
      <c r="VP40" s="227"/>
      <c r="VQ40" s="281">
        <v>197300000</v>
      </c>
      <c r="VR40" s="281">
        <v>168234755.09999999</v>
      </c>
      <c r="VS40" s="285"/>
      <c r="VT40" s="285"/>
      <c r="VU40" s="218"/>
      <c r="VV40" s="218"/>
      <c r="VW40" s="218"/>
      <c r="VX40" s="218"/>
      <c r="VY40" s="284">
        <v>-849247900</v>
      </c>
      <c r="VZ40" s="284">
        <v>-381278600</v>
      </c>
      <c r="WA40" s="285"/>
      <c r="WB40" s="285"/>
      <c r="WC40" s="218"/>
      <c r="WD40" s="218"/>
      <c r="WE40" s="218"/>
      <c r="WF40" s="218"/>
      <c r="WG40" s="218"/>
      <c r="WH40" s="218"/>
    </row>
    <row r="41" spans="1:607" s="388" customFormat="1" ht="17.399999999999999" x14ac:dyDescent="0.3">
      <c r="A41" s="218"/>
      <c r="B41" s="218"/>
      <c r="C41" s="434"/>
      <c r="D41" s="227"/>
      <c r="E41" s="220" t="s">
        <v>179</v>
      </c>
      <c r="F41" s="252">
        <f>F40-'Район  и  поселения'!AA36</f>
        <v>0</v>
      </c>
      <c r="G41" s="252">
        <f>G40-'Район  и  поселения'!BE36</f>
        <v>0</v>
      </c>
      <c r="I41" s="220"/>
      <c r="J41" s="220"/>
      <c r="K41" s="220"/>
      <c r="L41" s="220"/>
      <c r="M41" s="220"/>
      <c r="N41" s="220"/>
      <c r="O41" s="220"/>
      <c r="P41" s="220"/>
      <c r="Q41" s="218"/>
      <c r="R41" s="218"/>
      <c r="S41" s="218"/>
      <c r="T41" s="218"/>
      <c r="U41" s="218"/>
      <c r="V41" s="236"/>
      <c r="W41" s="218"/>
      <c r="X41" s="218"/>
      <c r="Y41" s="218"/>
      <c r="Z41" s="218"/>
      <c r="AA41" s="236"/>
      <c r="AB41" s="218"/>
      <c r="AC41" s="236"/>
      <c r="AD41" s="236"/>
      <c r="AE41" s="236"/>
      <c r="AF41" s="236"/>
      <c r="AG41" s="236"/>
      <c r="AH41" s="236"/>
      <c r="AI41" s="220"/>
      <c r="AJ41" s="1009"/>
      <c r="AK41" s="1009"/>
      <c r="AL41" s="239"/>
      <c r="AM41" s="239"/>
      <c r="AN41" s="239"/>
      <c r="AO41" s="239"/>
      <c r="AP41" s="239"/>
      <c r="AQ41" s="1009"/>
      <c r="AR41" s="268">
        <f>AR40-AR38</f>
        <v>0</v>
      </c>
      <c r="AS41" s="268">
        <f>AS40-AS38</f>
        <v>0</v>
      </c>
      <c r="AT41" s="268"/>
      <c r="AU41" s="268">
        <f>AU40-AU38</f>
        <v>0</v>
      </c>
      <c r="AV41" s="268">
        <f>AV40-AV38</f>
        <v>0</v>
      </c>
      <c r="AW41" s="1009"/>
      <c r="AX41" s="238"/>
      <c r="AY41" s="238"/>
      <c r="AZ41" s="238"/>
      <c r="BA41" s="238"/>
      <c r="BB41" s="238"/>
      <c r="BC41" s="1009"/>
      <c r="BD41" s="238"/>
      <c r="BE41" s="238"/>
      <c r="BF41" s="1242">
        <f>BF40-BF37</f>
        <v>0</v>
      </c>
      <c r="BG41" s="808"/>
      <c r="BH41" s="808"/>
      <c r="BI41" s="1009"/>
      <c r="BJ41" s="1009"/>
      <c r="BK41" s="1009"/>
      <c r="BL41" s="1009"/>
      <c r="BM41" s="1009"/>
      <c r="BN41" s="1009"/>
      <c r="BO41" s="1009"/>
      <c r="BP41" s="1009"/>
      <c r="BQ41" s="1009"/>
      <c r="BR41" s="1009"/>
      <c r="BS41" s="1009"/>
      <c r="BT41" s="1009"/>
      <c r="BU41" s="1009"/>
      <c r="BV41" s="1009"/>
      <c r="BW41" s="1009"/>
      <c r="BX41" s="1009"/>
      <c r="BY41" s="1009"/>
      <c r="BZ41" s="1009"/>
      <c r="CA41" s="1009"/>
      <c r="CB41" s="1009"/>
      <c r="CC41" s="1009"/>
      <c r="CD41" s="1009"/>
      <c r="CE41" s="1009"/>
      <c r="CF41" s="1009"/>
      <c r="CG41" s="239"/>
      <c r="CH41" s="239"/>
      <c r="CI41" s="239"/>
      <c r="CJ41" s="239"/>
      <c r="CK41" s="265"/>
      <c r="CL41" s="239"/>
      <c r="CM41" s="268">
        <f>CM40-CM38</f>
        <v>0</v>
      </c>
      <c r="CN41" s="268">
        <f>CN40-CN38</f>
        <v>0</v>
      </c>
      <c r="CO41" s="268">
        <f>CO40-CO38</f>
        <v>0</v>
      </c>
      <c r="CP41" s="268">
        <f>CP40-CP38</f>
        <v>0</v>
      </c>
      <c r="CQ41" s="239"/>
      <c r="CR41" s="239"/>
      <c r="CS41" s="239"/>
      <c r="CT41" s="239"/>
      <c r="CU41" s="265"/>
      <c r="CV41" s="239"/>
      <c r="CW41" s="239"/>
      <c r="CX41" s="239"/>
      <c r="CY41" s="239"/>
      <c r="CZ41" s="265"/>
      <c r="DA41" s="265"/>
      <c r="DB41" s="265"/>
      <c r="DC41" s="265"/>
      <c r="DD41" s="265"/>
      <c r="DE41" s="220"/>
      <c r="DF41" s="268">
        <f>DF40-DF38</f>
        <v>0</v>
      </c>
      <c r="DG41" s="220"/>
      <c r="DH41" s="220"/>
      <c r="DI41" s="220"/>
      <c r="DJ41" s="220"/>
      <c r="DK41" s="220"/>
      <c r="DL41" s="220"/>
      <c r="DM41" s="220"/>
      <c r="DN41" s="268">
        <f>DN40-DN38</f>
        <v>0</v>
      </c>
      <c r="DO41" s="220"/>
      <c r="DP41" s="220"/>
      <c r="DQ41" s="220"/>
      <c r="DR41" s="220"/>
      <c r="DS41" s="220"/>
      <c r="DT41" s="220"/>
      <c r="DU41" s="268"/>
      <c r="DV41" s="268"/>
      <c r="DW41" s="268"/>
      <c r="DX41" s="268"/>
      <c r="DY41" s="268"/>
      <c r="DZ41" s="268"/>
      <c r="EA41" s="268"/>
      <c r="EB41" s="268"/>
      <c r="EC41" s="268"/>
      <c r="ED41" s="808"/>
      <c r="EE41" s="1090">
        <v>0</v>
      </c>
      <c r="EF41" s="967"/>
      <c r="EG41" s="1090">
        <v>0</v>
      </c>
      <c r="EH41" s="967"/>
      <c r="EI41" s="808"/>
      <c r="EJ41" s="808"/>
      <c r="EK41" s="808"/>
      <c r="EL41" s="808"/>
      <c r="EM41" s="808"/>
      <c r="EN41" s="808"/>
      <c r="EO41" s="808"/>
      <c r="EP41" s="808"/>
      <c r="EQ41" s="808"/>
      <c r="ER41" s="808"/>
      <c r="ES41" s="239"/>
      <c r="ET41" s="239"/>
      <c r="EU41" s="239"/>
      <c r="EV41" s="239"/>
      <c r="EW41" s="1090">
        <v>0</v>
      </c>
      <c r="EX41" s="967"/>
      <c r="EY41" s="239"/>
      <c r="EZ41" s="239"/>
      <c r="FA41" s="239"/>
      <c r="FB41" s="239"/>
      <c r="FC41" s="1090">
        <v>0</v>
      </c>
      <c r="FD41" s="967"/>
      <c r="FE41" s="239"/>
      <c r="FF41" s="239"/>
      <c r="FG41" s="239"/>
      <c r="FH41" s="239"/>
      <c r="FI41" s="239"/>
      <c r="FJ41" s="239"/>
      <c r="FK41" s="1090">
        <v>2864400</v>
      </c>
      <c r="FL41" s="967"/>
      <c r="FM41" s="1090">
        <v>14736842.109999999</v>
      </c>
      <c r="FN41" s="967"/>
      <c r="FO41" s="808"/>
      <c r="FP41" s="808"/>
      <c r="FQ41" s="808"/>
      <c r="FR41" s="808"/>
      <c r="FS41" s="1090">
        <v>31817301.850000001</v>
      </c>
      <c r="FT41" s="967"/>
      <c r="FU41" s="808"/>
      <c r="FV41" s="808"/>
      <c r="FW41" s="808"/>
      <c r="FX41" s="808"/>
      <c r="FY41" s="1090">
        <v>5329484.1100000003</v>
      </c>
      <c r="FZ41" s="967"/>
      <c r="GE41" s="1090">
        <v>24913895.420000002</v>
      </c>
      <c r="GF41" s="967"/>
      <c r="HE41" s="252"/>
      <c r="HF41" s="252"/>
      <c r="HG41" s="252"/>
      <c r="HH41" s="252"/>
      <c r="HI41" s="252"/>
      <c r="HJ41" s="252"/>
      <c r="HK41" s="252"/>
      <c r="HL41" s="252"/>
      <c r="HM41" s="252"/>
      <c r="HN41" s="252"/>
      <c r="HO41" s="1090">
        <v>11173439.01</v>
      </c>
      <c r="HP41" s="967"/>
      <c r="HQ41" s="1090">
        <v>3342500</v>
      </c>
      <c r="HR41" s="967"/>
      <c r="HS41" s="1090">
        <v>440900</v>
      </c>
      <c r="HT41" s="967"/>
      <c r="HU41" s="1305"/>
      <c r="HV41" s="967"/>
      <c r="HW41" s="252"/>
      <c r="HX41" s="252"/>
      <c r="HY41" s="252"/>
      <c r="HZ41" s="252"/>
      <c r="IA41" s="252"/>
      <c r="IB41" s="252"/>
      <c r="IC41" s="252"/>
      <c r="ID41" s="252"/>
      <c r="IE41" s="252"/>
      <c r="IF41" s="252"/>
      <c r="IG41" s="252"/>
      <c r="IH41" s="252"/>
      <c r="II41" s="252"/>
      <c r="IJ41" s="252"/>
      <c r="IK41" s="252"/>
      <c r="IL41" s="252"/>
      <c r="IM41" s="252"/>
      <c r="IN41" s="252"/>
      <c r="IO41" s="241"/>
      <c r="IP41" s="1133"/>
      <c r="IQ41" s="1133"/>
      <c r="IR41" s="241"/>
      <c r="IS41" s="241"/>
      <c r="IT41" s="241"/>
      <c r="IU41" s="241"/>
      <c r="IV41" s="241"/>
      <c r="IW41" s="241"/>
      <c r="IX41" s="241"/>
      <c r="IY41" s="1133"/>
      <c r="IZ41" s="1133"/>
      <c r="JA41" s="241"/>
      <c r="JB41" s="241"/>
      <c r="JC41" s="241"/>
      <c r="JD41" s="241"/>
      <c r="JE41" s="241"/>
      <c r="JF41" s="241"/>
      <c r="JG41" s="241"/>
      <c r="JH41" s="1133"/>
      <c r="JI41" s="1133"/>
      <c r="JJ41" s="241"/>
      <c r="JK41" s="241"/>
      <c r="JL41" s="241"/>
      <c r="JM41" s="241"/>
      <c r="JN41" s="241"/>
      <c r="JO41" s="241"/>
      <c r="JP41" s="241"/>
      <c r="JQ41" s="1133"/>
      <c r="JR41" s="1133"/>
      <c r="JS41" s="241"/>
      <c r="JT41" s="241"/>
      <c r="JU41" s="241"/>
      <c r="JV41" s="241"/>
      <c r="JW41" s="241"/>
      <c r="JX41" s="241"/>
      <c r="JY41" s="241"/>
      <c r="JZ41" s="241"/>
      <c r="KA41" s="241"/>
      <c r="KB41" s="1177"/>
      <c r="KC41" s="1226"/>
      <c r="KD41" s="241"/>
      <c r="KE41" s="1090">
        <v>225676665.56999999</v>
      </c>
      <c r="KF41" s="967"/>
      <c r="KG41" s="1090">
        <v>9510960</v>
      </c>
      <c r="KH41" s="967"/>
      <c r="KI41" s="241"/>
      <c r="KJ41" s="241"/>
      <c r="KK41" s="1192"/>
      <c r="KL41" s="1276"/>
      <c r="KM41" s="239"/>
      <c r="KN41" s="239"/>
      <c r="KO41" s="241"/>
      <c r="KP41" s="265"/>
      <c r="KQ41" s="1090">
        <v>38793733.329999998</v>
      </c>
      <c r="KR41" s="967"/>
      <c r="KS41" s="1090">
        <v>0</v>
      </c>
      <c r="KT41" s="967"/>
      <c r="KU41" s="265"/>
      <c r="KV41" s="265"/>
      <c r="KW41" s="265"/>
      <c r="KX41" s="265"/>
      <c r="KY41" s="265"/>
      <c r="KZ41" s="265"/>
      <c r="LA41" s="1305">
        <v>0</v>
      </c>
      <c r="LB41" s="967"/>
      <c r="LC41" s="265"/>
      <c r="LD41" s="265"/>
      <c r="LE41" s="265"/>
      <c r="LF41" s="265"/>
      <c r="LO41" s="1090">
        <v>29348242.879999999</v>
      </c>
      <c r="LP41" s="967"/>
      <c r="LQ41" s="1090">
        <v>75118145.599999994</v>
      </c>
      <c r="LR41" s="967"/>
      <c r="LS41" s="1090">
        <v>0</v>
      </c>
      <c r="LT41" s="967"/>
      <c r="MY41" s="724"/>
      <c r="MZ41" s="239"/>
      <c r="NA41" s="239"/>
      <c r="NB41" s="239"/>
      <c r="NC41" s="239"/>
      <c r="ND41" s="239"/>
      <c r="NE41" s="239"/>
      <c r="NF41" s="239"/>
      <c r="NG41" s="1090">
        <v>1939980.82</v>
      </c>
      <c r="NH41" s="967"/>
      <c r="NI41" s="239"/>
      <c r="NJ41" s="239"/>
      <c r="NK41" s="239"/>
      <c r="NL41" s="239"/>
      <c r="NM41" s="239"/>
      <c r="NN41" s="239"/>
      <c r="NO41" s="239"/>
      <c r="NP41" s="239"/>
      <c r="NQ41" s="239"/>
      <c r="NR41" s="239"/>
      <c r="NS41" s="239"/>
      <c r="NT41" s="239"/>
      <c r="NU41" s="239"/>
      <c r="NV41" s="239"/>
      <c r="NW41" s="239"/>
      <c r="NX41" s="239"/>
      <c r="NY41" s="808"/>
      <c r="NZ41" s="808"/>
      <c r="OA41" s="238"/>
      <c r="OD41" s="238"/>
      <c r="OG41" s="252"/>
      <c r="OH41" s="252"/>
      <c r="OI41" s="252"/>
      <c r="OJ41" s="252"/>
      <c r="OK41" s="252"/>
      <c r="OL41" s="252"/>
      <c r="OM41" s="252"/>
      <c r="ON41" s="252"/>
      <c r="OO41" s="252"/>
      <c r="OP41" s="252"/>
      <c r="OQ41" s="252"/>
      <c r="OR41" s="252"/>
      <c r="OS41" s="239"/>
      <c r="OT41" s="239"/>
      <c r="OU41" s="239"/>
      <c r="OV41" s="239"/>
      <c r="OW41" s="239"/>
      <c r="OX41" s="239"/>
      <c r="OY41" s="239"/>
      <c r="OZ41" s="239"/>
      <c r="PA41" s="1090">
        <v>4466987.4400000004</v>
      </c>
      <c r="PB41" s="967"/>
      <c r="PC41" s="1090">
        <v>0</v>
      </c>
      <c r="PD41" s="967"/>
      <c r="PE41" s="1090">
        <v>24257752.93</v>
      </c>
      <c r="PF41" s="967"/>
      <c r="PG41" s="239"/>
      <c r="PH41" s="239"/>
      <c r="PI41" s="239"/>
      <c r="PJ41" s="239"/>
      <c r="PK41" s="239"/>
      <c r="PL41" s="238"/>
      <c r="PM41" s="238"/>
      <c r="PN41" s="239"/>
      <c r="PO41" s="239"/>
      <c r="PP41" s="239"/>
      <c r="PQ41" s="1090">
        <v>33705955.770000003</v>
      </c>
      <c r="PR41" s="967"/>
      <c r="PS41" s="239"/>
      <c r="PT41" s="239"/>
      <c r="PU41" s="267"/>
      <c r="PV41" s="267"/>
      <c r="PW41" s="239"/>
      <c r="PX41" s="239"/>
      <c r="PY41" s="239"/>
      <c r="PZ41" s="239"/>
      <c r="QA41" s="239"/>
      <c r="QB41" s="239"/>
      <c r="QC41" s="239"/>
      <c r="QD41" s="239"/>
      <c r="QE41" s="239"/>
      <c r="QF41" s="239"/>
      <c r="QG41" s="239"/>
      <c r="QH41" s="239"/>
      <c r="QI41" s="239"/>
      <c r="QJ41" s="239"/>
      <c r="QK41" s="239"/>
      <c r="QL41" s="239"/>
      <c r="QM41" s="239"/>
      <c r="QN41" s="239"/>
      <c r="QO41" s="239"/>
      <c r="QP41" s="239"/>
      <c r="QQ41" s="239"/>
      <c r="QR41" s="239"/>
      <c r="QS41" s="239"/>
      <c r="QT41" s="239"/>
      <c r="QU41" s="239"/>
      <c r="QV41" s="239"/>
      <c r="QW41" s="239"/>
      <c r="QX41" s="239"/>
      <c r="QY41" s="239"/>
      <c r="QZ41" s="239"/>
      <c r="RA41" s="239"/>
      <c r="RB41" s="239"/>
      <c r="RC41" s="239"/>
      <c r="RD41" s="239"/>
      <c r="RE41" s="239"/>
      <c r="RF41" s="239"/>
      <c r="RG41" s="239"/>
      <c r="RH41" s="239"/>
      <c r="RJ41" s="252">
        <f>RJ40-RJ37</f>
        <v>0</v>
      </c>
      <c r="RK41" s="220"/>
      <c r="RL41" s="220"/>
      <c r="RM41" s="220"/>
      <c r="RN41" s="220"/>
      <c r="RO41" s="220"/>
      <c r="RP41" s="220"/>
      <c r="RQ41" s="220"/>
      <c r="RR41" s="220"/>
      <c r="RS41" s="227"/>
      <c r="RT41" s="218"/>
      <c r="RU41" s="218"/>
      <c r="RV41" s="221"/>
      <c r="RW41" s="218"/>
      <c r="RX41" s="221"/>
      <c r="RY41" s="241"/>
      <c r="RZ41" s="241"/>
      <c r="SA41" s="241"/>
      <c r="SB41" s="241"/>
      <c r="SC41" s="241"/>
      <c r="SD41" s="241"/>
      <c r="SE41" s="220"/>
      <c r="SF41" s="240"/>
      <c r="SG41" s="220"/>
      <c r="SH41" s="220"/>
      <c r="SI41" s="240"/>
      <c r="SJ41" s="240"/>
      <c r="SK41" s="220"/>
      <c r="SL41" s="220"/>
      <c r="SM41" s="220"/>
      <c r="SN41" s="220"/>
      <c r="SO41" s="399"/>
      <c r="SP41" s="399"/>
      <c r="SQ41" s="220"/>
      <c r="SR41" s="220"/>
      <c r="SS41" s="220"/>
      <c r="ST41" s="220"/>
      <c r="SU41" s="220"/>
      <c r="SV41" s="220"/>
      <c r="SW41" s="220"/>
      <c r="SX41" s="220"/>
      <c r="SY41" s="220"/>
      <c r="SZ41" s="220"/>
      <c r="TA41" s="220"/>
      <c r="TB41" s="220"/>
      <c r="TC41" s="220"/>
      <c r="TD41" s="220"/>
      <c r="TE41" s="220"/>
      <c r="TF41" s="220"/>
      <c r="TG41" s="220"/>
      <c r="TH41" s="220"/>
      <c r="TI41" s="994">
        <v>192890769.11000001</v>
      </c>
      <c r="TJ41" s="967"/>
      <c r="TK41" s="994">
        <v>95302302.189999998</v>
      </c>
      <c r="TL41" s="1294"/>
      <c r="TM41" s="994">
        <v>11460299.76</v>
      </c>
      <c r="TN41" s="1294"/>
      <c r="TO41" s="1294"/>
      <c r="TP41" s="1294"/>
      <c r="TQ41" s="1294"/>
      <c r="TR41" s="1007"/>
      <c r="TS41" s="220"/>
      <c r="TT41" s="1008"/>
      <c r="TU41" s="1008"/>
      <c r="TV41" s="1008"/>
      <c r="TW41" s="1008"/>
      <c r="TX41" s="1008"/>
      <c r="TY41" s="1008"/>
      <c r="TZ41" s="1008"/>
      <c r="UA41" s="1008"/>
      <c r="UC41" s="220"/>
      <c r="UD41" s="220"/>
      <c r="UE41" s="220"/>
      <c r="UG41" s="1008"/>
      <c r="UH41" s="1008"/>
      <c r="UI41" s="220"/>
      <c r="UJ41" s="220"/>
      <c r="UK41" s="220"/>
      <c r="UL41" s="220"/>
      <c r="UM41" s="220"/>
      <c r="UN41" s="220"/>
      <c r="UO41" s="220"/>
      <c r="UP41" s="220"/>
      <c r="UQ41" s="220"/>
      <c r="UR41" s="220"/>
      <c r="US41" s="220"/>
      <c r="UT41" s="220"/>
      <c r="UU41" s="220"/>
      <c r="UV41" s="220"/>
      <c r="UW41" s="220"/>
      <c r="UX41" s="220"/>
      <c r="UY41" s="252"/>
      <c r="UZ41" s="252"/>
      <c r="VA41" s="252"/>
      <c r="VB41" s="1007"/>
      <c r="VC41" s="242"/>
      <c r="VD41" s="242"/>
      <c r="VE41" s="242"/>
      <c r="VF41" s="1007"/>
      <c r="VG41" s="242"/>
      <c r="VH41" s="242"/>
      <c r="VI41" s="242"/>
      <c r="VJ41" s="242"/>
      <c r="VK41" s="242"/>
      <c r="VL41" s="242"/>
      <c r="VM41" s="242"/>
      <c r="VN41" s="242"/>
      <c r="VO41" s="227"/>
      <c r="VP41" s="227"/>
      <c r="VQ41" s="282">
        <f>VQ40-VQ38</f>
        <v>0</v>
      </c>
      <c r="VR41" s="282">
        <f>VR40-VR38</f>
        <v>0</v>
      </c>
      <c r="VS41" s="285"/>
      <c r="VT41" s="285"/>
      <c r="VU41" s="218"/>
      <c r="VV41" s="218"/>
      <c r="VW41" s="218"/>
      <c r="VX41" s="218"/>
      <c r="VY41" s="282">
        <f>VY40-VY38</f>
        <v>0</v>
      </c>
      <c r="VZ41" s="282">
        <f>VZ40-VZ38</f>
        <v>0</v>
      </c>
      <c r="WA41" s="285"/>
      <c r="WB41" s="285"/>
      <c r="WC41" s="218"/>
      <c r="WD41" s="218"/>
      <c r="WE41" s="218"/>
      <c r="WF41" s="218"/>
      <c r="WG41" s="218"/>
      <c r="WH41" s="218"/>
    </row>
    <row r="42" spans="1:607" s="388" customFormat="1" x14ac:dyDescent="0.3">
      <c r="A42" s="215"/>
      <c r="B42" s="216"/>
      <c r="C42" s="227"/>
      <c r="D42" s="227"/>
      <c r="I42" s="220"/>
      <c r="J42" s="220"/>
      <c r="K42" s="220"/>
      <c r="L42" s="220"/>
      <c r="M42" s="220"/>
      <c r="N42" s="220"/>
      <c r="O42" s="220"/>
      <c r="P42" s="220"/>
      <c r="Q42" s="218"/>
      <c r="R42" s="218"/>
      <c r="S42" s="218"/>
      <c r="T42" s="218"/>
      <c r="U42" s="218"/>
      <c r="V42" s="236"/>
      <c r="W42" s="218"/>
      <c r="X42" s="218"/>
      <c r="Y42" s="218"/>
      <c r="Z42" s="218"/>
      <c r="AA42" s="236"/>
      <c r="AB42" s="218"/>
      <c r="AC42" s="236"/>
      <c r="AD42" s="236"/>
      <c r="AE42" s="236"/>
      <c r="AF42" s="236"/>
      <c r="AG42" s="236"/>
      <c r="AH42" s="236"/>
      <c r="AI42" s="221"/>
      <c r="AJ42" s="264"/>
      <c r="AK42" s="264"/>
      <c r="AL42" s="239"/>
      <c r="AM42" s="239"/>
      <c r="AN42" s="239"/>
      <c r="AO42" s="239"/>
      <c r="AP42" s="239"/>
      <c r="AQ42" s="264"/>
      <c r="AW42" s="264"/>
      <c r="AX42" s="238"/>
      <c r="AY42" s="238"/>
      <c r="AZ42" s="238"/>
      <c r="BA42" s="238"/>
      <c r="BB42" s="238"/>
      <c r="BC42" s="264"/>
      <c r="BD42" s="238"/>
      <c r="BE42" s="238"/>
      <c r="BF42" s="268"/>
      <c r="BG42" s="268"/>
      <c r="BH42" s="238"/>
      <c r="BI42" s="264"/>
      <c r="BJ42" s="264"/>
      <c r="BK42" s="264"/>
      <c r="BL42" s="264"/>
      <c r="BM42" s="264"/>
      <c r="BN42" s="264"/>
      <c r="BO42" s="264"/>
      <c r="BP42" s="264"/>
      <c r="BQ42" s="264"/>
      <c r="BR42" s="264"/>
      <c r="BS42" s="264"/>
      <c r="BT42" s="264"/>
      <c r="BU42" s="264"/>
      <c r="BV42" s="264"/>
      <c r="BW42" s="264"/>
      <c r="BX42" s="264"/>
      <c r="BY42" s="264"/>
      <c r="BZ42" s="264"/>
      <c r="CA42" s="264"/>
      <c r="CB42" s="264"/>
      <c r="CC42" s="264"/>
      <c r="CD42" s="264"/>
      <c r="CE42" s="264"/>
      <c r="CF42" s="264"/>
      <c r="CG42" s="239"/>
      <c r="CH42" s="239"/>
      <c r="CI42" s="239"/>
      <c r="CJ42" s="239"/>
      <c r="CK42" s="268"/>
      <c r="CL42" s="239"/>
      <c r="CQ42" s="239"/>
      <c r="CR42" s="239"/>
      <c r="CS42" s="239"/>
      <c r="CT42" s="239"/>
      <c r="CU42" s="268"/>
      <c r="CV42" s="239"/>
      <c r="CW42" s="239"/>
      <c r="CX42" s="239"/>
      <c r="CY42" s="239"/>
      <c r="CZ42" s="268"/>
      <c r="DA42" s="265"/>
      <c r="DB42" s="265"/>
      <c r="DC42" s="265"/>
      <c r="DD42" s="265"/>
      <c r="DG42" s="220"/>
      <c r="DH42" s="220"/>
      <c r="DI42" s="220"/>
      <c r="DJ42" s="220"/>
      <c r="DK42" s="220"/>
      <c r="DL42" s="220"/>
      <c r="DM42" s="220"/>
      <c r="DO42" s="220"/>
      <c r="DP42" s="220"/>
      <c r="DQ42" s="220"/>
      <c r="DR42" s="220"/>
      <c r="DS42" s="220"/>
      <c r="DT42" s="220"/>
      <c r="DU42" s="268"/>
      <c r="DV42" s="268"/>
      <c r="DW42" s="268"/>
      <c r="DX42" s="268"/>
      <c r="DY42" s="268"/>
      <c r="DZ42" s="268"/>
      <c r="EA42" s="268"/>
      <c r="EB42" s="268"/>
      <c r="EC42" s="268"/>
      <c r="ED42" s="268">
        <f>ED40-ED37</f>
        <v>0</v>
      </c>
      <c r="EE42" s="1310">
        <f>EE40-EE37</f>
        <v>0</v>
      </c>
      <c r="EF42" s="1310">
        <f t="shared" ref="EF42" si="452">EF40-EF37</f>
        <v>0</v>
      </c>
      <c r="EG42" s="1310">
        <f>EG40-EG37</f>
        <v>0</v>
      </c>
      <c r="EH42" s="1310">
        <f t="shared" ref="EH42" si="453">EH40-EH37</f>
        <v>0</v>
      </c>
      <c r="EI42" s="268">
        <f>EI40-EI37</f>
        <v>0</v>
      </c>
      <c r="EJ42" s="268">
        <f>EJ40-EJ38</f>
        <v>0</v>
      </c>
      <c r="EK42" s="268"/>
      <c r="EL42" s="268"/>
      <c r="EM42" s="268"/>
      <c r="EN42" s="268"/>
      <c r="EO42" s="268"/>
      <c r="EP42" s="268"/>
      <c r="EQ42" s="268"/>
      <c r="ER42" s="268"/>
      <c r="ES42" s="239"/>
      <c r="ET42" s="239"/>
      <c r="EU42" s="239"/>
      <c r="EV42" s="239"/>
      <c r="EW42" s="1310">
        <f>EW40-EW37</f>
        <v>0</v>
      </c>
      <c r="EX42" s="1310">
        <f t="shared" ref="EX42" si="454">EX40-EX37</f>
        <v>0</v>
      </c>
      <c r="EY42" s="239"/>
      <c r="EZ42" s="239"/>
      <c r="FA42" s="239"/>
      <c r="FB42" s="239"/>
      <c r="FC42" s="1310">
        <f>FC40-FC37</f>
        <v>0</v>
      </c>
      <c r="FD42" s="1310">
        <f t="shared" ref="FD42" si="455">FD40-FD37</f>
        <v>0</v>
      </c>
      <c r="FE42" s="239"/>
      <c r="FF42" s="239"/>
      <c r="FG42" s="239"/>
      <c r="FH42" s="239"/>
      <c r="FI42" s="239"/>
      <c r="FJ42" s="239"/>
      <c r="FK42" s="1310">
        <f>FK40-FK37</f>
        <v>0</v>
      </c>
      <c r="FL42" s="1310">
        <f t="shared" ref="FL42:FN42" si="456">FL40-FL37</f>
        <v>0</v>
      </c>
      <c r="FM42" s="1310">
        <f t="shared" si="456"/>
        <v>0</v>
      </c>
      <c r="FN42" s="1310">
        <f t="shared" si="456"/>
        <v>0</v>
      </c>
      <c r="FO42" s="268"/>
      <c r="FP42" s="268"/>
      <c r="FQ42" s="268"/>
      <c r="FR42" s="268"/>
      <c r="FS42" s="268">
        <f>FS40-FS37</f>
        <v>2.3283064365386963E-9</v>
      </c>
      <c r="FT42" s="268">
        <f>FT40-FT37</f>
        <v>0</v>
      </c>
      <c r="FU42" s="268"/>
      <c r="FV42" s="268"/>
      <c r="FW42" s="268"/>
      <c r="FX42" s="268"/>
      <c r="FY42" s="268">
        <f>FY40-FY37</f>
        <v>0</v>
      </c>
      <c r="FZ42" s="268">
        <f>FZ40-FZ37</f>
        <v>0</v>
      </c>
      <c r="GE42" s="268">
        <f t="shared" ref="GE42:GF42" si="457">GE40-GE38</f>
        <v>0</v>
      </c>
      <c r="GF42" s="268">
        <f t="shared" si="457"/>
        <v>0</v>
      </c>
      <c r="HE42" s="252"/>
      <c r="HF42" s="252"/>
      <c r="HG42" s="252"/>
      <c r="HH42" s="252"/>
      <c r="HI42" s="252"/>
      <c r="HJ42" s="252"/>
      <c r="HK42" s="252"/>
      <c r="HL42" s="252"/>
      <c r="HM42" s="252"/>
      <c r="HN42" s="252"/>
      <c r="HO42" s="268">
        <f>HO40-HO38</f>
        <v>0</v>
      </c>
      <c r="HP42" s="268">
        <f t="shared" ref="HP42:HV42" si="458">HP40-HP38</f>
        <v>0</v>
      </c>
      <c r="HQ42" s="268">
        <f t="shared" si="458"/>
        <v>0</v>
      </c>
      <c r="HR42" s="268">
        <f t="shared" si="458"/>
        <v>0</v>
      </c>
      <c r="HS42" s="268">
        <f t="shared" si="458"/>
        <v>0</v>
      </c>
      <c r="HT42" s="268">
        <f t="shared" si="458"/>
        <v>0</v>
      </c>
      <c r="HU42" s="268">
        <f t="shared" si="458"/>
        <v>0</v>
      </c>
      <c r="HV42" s="268">
        <f t="shared" si="458"/>
        <v>0</v>
      </c>
      <c r="HW42" s="252"/>
      <c r="HX42" s="252"/>
      <c r="HY42" s="252"/>
      <c r="HZ42" s="252"/>
      <c r="IA42" s="252"/>
      <c r="IB42" s="252"/>
      <c r="IC42" s="252"/>
      <c r="ID42" s="252"/>
      <c r="IE42" s="252"/>
      <c r="IF42" s="252"/>
      <c r="IG42" s="252"/>
      <c r="IH42" s="252"/>
      <c r="II42" s="252"/>
      <c r="IJ42" s="252"/>
      <c r="IK42" s="252"/>
      <c r="IL42" s="252"/>
      <c r="IM42" s="252"/>
      <c r="IN42" s="252"/>
      <c r="IO42" s="241"/>
      <c r="IP42" s="1133"/>
      <c r="IQ42" s="1133"/>
      <c r="IR42" s="241"/>
      <c r="IS42" s="241"/>
      <c r="IT42" s="241"/>
      <c r="IU42" s="241"/>
      <c r="IV42" s="241"/>
      <c r="IW42" s="241"/>
      <c r="IX42" s="241"/>
      <c r="IY42" s="1133"/>
      <c r="IZ42" s="1133"/>
      <c r="JA42" s="241"/>
      <c r="JB42" s="241"/>
      <c r="JC42" s="241"/>
      <c r="JD42" s="241"/>
      <c r="JE42" s="241"/>
      <c r="JF42" s="241"/>
      <c r="JG42" s="241"/>
      <c r="JH42" s="1133"/>
      <c r="JI42" s="1133"/>
      <c r="JJ42" s="241"/>
      <c r="JK42" s="241"/>
      <c r="JL42" s="241"/>
      <c r="JM42" s="241"/>
      <c r="JN42" s="241"/>
      <c r="JO42" s="241"/>
      <c r="JP42" s="241"/>
      <c r="JQ42" s="1133"/>
      <c r="JR42" s="1133"/>
      <c r="JS42" s="241"/>
      <c r="JT42" s="241"/>
      <c r="JU42" s="241"/>
      <c r="JV42" s="241"/>
      <c r="JW42" s="241"/>
      <c r="JX42" s="241"/>
      <c r="JY42" s="241"/>
      <c r="JZ42" s="241"/>
      <c r="KA42" s="241"/>
      <c r="KB42" s="1177"/>
      <c r="KC42" s="1226"/>
      <c r="KD42" s="241"/>
      <c r="KE42" s="268">
        <f>KE40-KE37</f>
        <v>0</v>
      </c>
      <c r="KF42" s="268">
        <f t="shared" ref="KF42:KH42" si="459">KF40-KF37</f>
        <v>0</v>
      </c>
      <c r="KG42" s="268">
        <f t="shared" si="459"/>
        <v>0</v>
      </c>
      <c r="KH42" s="268">
        <f t="shared" si="459"/>
        <v>0</v>
      </c>
      <c r="KI42" s="241"/>
      <c r="KJ42" s="241"/>
      <c r="KK42" s="1192"/>
      <c r="KL42" s="1276"/>
      <c r="KM42" s="239"/>
      <c r="KN42" s="239"/>
      <c r="KO42" s="241"/>
      <c r="KP42" s="268">
        <f>KP40-KP37</f>
        <v>0</v>
      </c>
      <c r="KQ42" s="268">
        <f>KQ40-KQ37</f>
        <v>0</v>
      </c>
      <c r="KR42" s="268">
        <f t="shared" ref="KR42:KT42" si="460">KR40-KR37</f>
        <v>0</v>
      </c>
      <c r="KS42" s="268">
        <f t="shared" si="460"/>
        <v>0</v>
      </c>
      <c r="KT42" s="268">
        <f t="shared" si="460"/>
        <v>0</v>
      </c>
      <c r="KU42" s="268"/>
      <c r="KV42" s="268"/>
      <c r="KW42" s="268"/>
      <c r="KX42" s="268"/>
      <c r="KY42" s="268"/>
      <c r="KZ42" s="268">
        <f>KZ40-KZ37</f>
        <v>0</v>
      </c>
      <c r="LA42" s="268">
        <f>LA40-LA38</f>
        <v>0</v>
      </c>
      <c r="LB42" s="268">
        <f t="shared" ref="LB42" si="461">LB40-LB38</f>
        <v>0</v>
      </c>
      <c r="LC42" s="268"/>
      <c r="LD42" s="268"/>
      <c r="LE42" s="268"/>
      <c r="LF42" s="268"/>
      <c r="LO42" s="268">
        <f>LO40-LO38</f>
        <v>0</v>
      </c>
      <c r="LP42" s="268">
        <f t="shared" ref="LP42:LT42" si="462">LP40-LP38</f>
        <v>0</v>
      </c>
      <c r="LQ42" s="268">
        <f>LQ40-LQ38</f>
        <v>0</v>
      </c>
      <c r="LR42" s="268">
        <f>LR40-LR38</f>
        <v>0</v>
      </c>
      <c r="LS42" s="268">
        <f t="shared" si="462"/>
        <v>0</v>
      </c>
      <c r="LT42" s="268">
        <f t="shared" si="462"/>
        <v>0</v>
      </c>
      <c r="MY42" s="239"/>
      <c r="MZ42" s="239"/>
      <c r="NA42" s="239"/>
      <c r="NB42" s="268">
        <f>NB40-NB38</f>
        <v>0</v>
      </c>
      <c r="NC42" s="239"/>
      <c r="ND42" s="239"/>
      <c r="NE42" s="239"/>
      <c r="NF42" s="239"/>
      <c r="NG42" s="268">
        <f>NG40-NG37</f>
        <v>0</v>
      </c>
      <c r="NH42" s="268">
        <f>NH40-NH37</f>
        <v>0</v>
      </c>
      <c r="NI42" s="239"/>
      <c r="NJ42" s="239"/>
      <c r="NK42" s="239"/>
      <c r="NL42" s="239"/>
      <c r="NM42" s="239"/>
      <c r="NN42" s="239"/>
      <c r="NO42" s="239"/>
      <c r="NP42" s="239"/>
      <c r="NQ42" s="239"/>
      <c r="NR42" s="239"/>
      <c r="NS42" s="239"/>
      <c r="NT42" s="239"/>
      <c r="NU42" s="239"/>
      <c r="NV42" s="239"/>
      <c r="NW42" s="239"/>
      <c r="NX42" s="239"/>
      <c r="NY42" s="268">
        <f>NY40-NY37</f>
        <v>0</v>
      </c>
      <c r="NZ42" s="268">
        <f>NZ40-NZ37</f>
        <v>0</v>
      </c>
      <c r="OA42" s="238"/>
      <c r="OD42" s="238"/>
      <c r="OG42" s="252"/>
      <c r="OH42" s="252"/>
      <c r="OI42" s="252"/>
      <c r="OJ42" s="252"/>
      <c r="OK42" s="252"/>
      <c r="OL42" s="252"/>
      <c r="OM42" s="252"/>
      <c r="ON42" s="252"/>
      <c r="OO42" s="252"/>
      <c r="OP42" s="252"/>
      <c r="OQ42" s="252"/>
      <c r="OR42" s="252"/>
      <c r="OS42" s="239"/>
      <c r="OT42" s="239"/>
      <c r="OU42" s="239"/>
      <c r="OV42" s="239"/>
      <c r="OW42" s="239"/>
      <c r="OX42" s="239"/>
      <c r="OY42" s="239"/>
      <c r="OZ42" s="239"/>
      <c r="PA42" s="268">
        <f>PA40-PA38</f>
        <v>0</v>
      </c>
      <c r="PB42" s="268">
        <f t="shared" ref="PB42:PF42" si="463">PB40-PB38</f>
        <v>0</v>
      </c>
      <c r="PC42" s="268">
        <f t="shared" si="463"/>
        <v>0</v>
      </c>
      <c r="PD42" s="268">
        <f t="shared" si="463"/>
        <v>0</v>
      </c>
      <c r="PE42" s="268">
        <f t="shared" si="463"/>
        <v>0</v>
      </c>
      <c r="PF42" s="268">
        <f t="shared" si="463"/>
        <v>0</v>
      </c>
      <c r="PG42" s="239"/>
      <c r="PH42" s="239"/>
      <c r="PI42" s="239"/>
      <c r="PJ42" s="239"/>
      <c r="PK42" s="239"/>
      <c r="PL42" s="238"/>
      <c r="PM42" s="238"/>
      <c r="PN42" s="239"/>
      <c r="PO42" s="239"/>
      <c r="PP42" s="239"/>
      <c r="PQ42" s="268">
        <f>PQ40-PQ37</f>
        <v>0</v>
      </c>
      <c r="PR42" s="268">
        <f>PR40-PR37</f>
        <v>0</v>
      </c>
      <c r="PS42" s="239"/>
      <c r="PT42" s="239"/>
      <c r="PU42" s="267"/>
      <c r="PV42" s="267"/>
      <c r="PW42" s="239"/>
      <c r="PX42" s="239"/>
      <c r="PY42" s="239"/>
      <c r="PZ42" s="239"/>
      <c r="QA42" s="239"/>
      <c r="QB42" s="239"/>
      <c r="QC42" s="239"/>
      <c r="QD42" s="239"/>
      <c r="QE42" s="239"/>
      <c r="QF42" s="239"/>
      <c r="QG42" s="239"/>
      <c r="QH42" s="239"/>
      <c r="QI42" s="239"/>
      <c r="QJ42" s="239"/>
      <c r="QK42" s="239"/>
      <c r="QL42" s="239"/>
      <c r="QM42" s="239"/>
      <c r="QN42" s="239"/>
      <c r="QO42" s="239"/>
      <c r="QP42" s="239"/>
      <c r="QQ42" s="239"/>
      <c r="QR42" s="239"/>
      <c r="QS42" s="239"/>
      <c r="QT42" s="239"/>
      <c r="QU42" s="239"/>
      <c r="QV42" s="239"/>
      <c r="QW42" s="239"/>
      <c r="QX42" s="239"/>
      <c r="QY42" s="239"/>
      <c r="QZ42" s="239"/>
      <c r="RA42" s="239"/>
      <c r="RB42" s="239"/>
      <c r="RC42" s="239"/>
      <c r="RD42" s="239"/>
      <c r="RE42" s="239"/>
      <c r="RF42" s="239"/>
      <c r="RG42" s="239"/>
      <c r="RH42" s="239"/>
      <c r="RI42" s="239"/>
      <c r="RJ42" s="239"/>
      <c r="RK42" s="220"/>
      <c r="RL42" s="220"/>
      <c r="RM42" s="220"/>
      <c r="RN42" s="220"/>
      <c r="RO42" s="220"/>
      <c r="RP42" s="220"/>
      <c r="RQ42" s="220"/>
      <c r="RR42" s="220"/>
      <c r="RS42" s="227"/>
      <c r="RT42" s="218"/>
      <c r="RU42" s="218"/>
      <c r="RV42" s="221"/>
      <c r="RW42" s="218"/>
      <c r="RX42" s="221"/>
      <c r="RY42" s="241"/>
      <c r="RZ42" s="241"/>
      <c r="SA42" s="241"/>
      <c r="SB42" s="241"/>
      <c r="SC42" s="241"/>
      <c r="SD42" s="241"/>
      <c r="SE42" s="220"/>
      <c r="SF42" s="240"/>
      <c r="SG42" s="220"/>
      <c r="SH42" s="220"/>
      <c r="SI42" s="240"/>
      <c r="SJ42" s="240"/>
      <c r="SK42" s="220"/>
      <c r="SL42" s="220"/>
      <c r="SM42" s="220"/>
      <c r="SN42" s="220"/>
      <c r="SO42" s="399"/>
      <c r="SP42" s="399"/>
      <c r="SQ42" s="220"/>
      <c r="SR42" s="220"/>
      <c r="SS42" s="220"/>
      <c r="ST42" s="220"/>
      <c r="SU42" s="220"/>
      <c r="SV42" s="220"/>
      <c r="SW42" s="220"/>
      <c r="SX42" s="220"/>
      <c r="SY42" s="220"/>
      <c r="SZ42" s="220"/>
      <c r="TA42" s="220"/>
      <c r="TB42" s="220"/>
      <c r="TC42" s="220"/>
      <c r="TD42" s="220"/>
      <c r="TE42" s="220"/>
      <c r="TF42" s="220"/>
      <c r="TG42" s="220"/>
      <c r="TH42" s="220"/>
      <c r="TI42" s="268">
        <f>TI40-TI37</f>
        <v>0</v>
      </c>
      <c r="TJ42" s="268">
        <f t="shared" ref="TJ42:TP42" si="464">TJ40-TJ37</f>
        <v>0</v>
      </c>
      <c r="TK42" s="268">
        <f t="shared" si="464"/>
        <v>0</v>
      </c>
      <c r="TL42" s="268">
        <f t="shared" si="464"/>
        <v>0</v>
      </c>
      <c r="TM42" s="268">
        <f t="shared" si="464"/>
        <v>0</v>
      </c>
      <c r="TN42" s="268">
        <f t="shared" si="464"/>
        <v>0</v>
      </c>
      <c r="TO42" s="268">
        <f t="shared" si="464"/>
        <v>0</v>
      </c>
      <c r="TP42" s="268">
        <f t="shared" si="464"/>
        <v>0</v>
      </c>
      <c r="TQ42" s="252"/>
      <c r="TR42" s="252"/>
      <c r="TS42" s="220"/>
      <c r="TT42" s="268">
        <f>TT40-TT38</f>
        <v>0</v>
      </c>
      <c r="TU42" s="268"/>
      <c r="TV42" s="268"/>
      <c r="TW42" s="268"/>
      <c r="TX42" s="268"/>
      <c r="TY42" s="268"/>
      <c r="TZ42" s="268"/>
      <c r="UA42" s="268"/>
      <c r="UC42" s="220"/>
      <c r="UD42" s="220"/>
      <c r="UE42" s="220"/>
      <c r="UG42" s="268">
        <f>UG40-UG38</f>
        <v>0</v>
      </c>
      <c r="UH42" s="268">
        <f>UH40-UH38</f>
        <v>0</v>
      </c>
      <c r="UI42" s="220"/>
      <c r="UJ42" s="220"/>
      <c r="UK42" s="220"/>
      <c r="UL42" s="220"/>
      <c r="UM42" s="220"/>
      <c r="UN42" s="220"/>
      <c r="UO42" s="220"/>
      <c r="UP42" s="220"/>
      <c r="UQ42" s="220"/>
      <c r="UR42" s="220"/>
      <c r="US42" s="220"/>
      <c r="UT42" s="220"/>
      <c r="UU42" s="220"/>
      <c r="UV42" s="220"/>
      <c r="UW42" s="220"/>
      <c r="UX42" s="220"/>
      <c r="UY42" s="252"/>
      <c r="UZ42" s="252"/>
      <c r="VA42" s="252"/>
      <c r="VB42" s="252">
        <f>VB40-VB37</f>
        <v>0</v>
      </c>
      <c r="VC42" s="242"/>
      <c r="VD42" s="242"/>
      <c r="VE42" s="242"/>
      <c r="VF42" s="252">
        <f>VF40-VF37</f>
        <v>0</v>
      </c>
      <c r="VG42" s="242"/>
      <c r="VH42" s="242"/>
      <c r="VI42" s="242"/>
      <c r="VJ42" s="242"/>
      <c r="VK42" s="242"/>
      <c r="VL42" s="242"/>
      <c r="VM42" s="242"/>
      <c r="VN42" s="242"/>
      <c r="VO42" s="227"/>
      <c r="VP42" s="227"/>
      <c r="VQ42" s="218"/>
      <c r="VR42" s="218"/>
      <c r="VS42" s="285"/>
      <c r="VT42" s="285"/>
      <c r="VU42" s="218"/>
      <c r="VV42" s="218"/>
      <c r="VW42" s="218"/>
      <c r="VX42" s="218"/>
      <c r="VY42" s="218"/>
      <c r="VZ42" s="218"/>
      <c r="WA42" s="285"/>
      <c r="WB42" s="285"/>
      <c r="WC42" s="218"/>
      <c r="WD42" s="218"/>
      <c r="WE42" s="218"/>
      <c r="WF42" s="218"/>
      <c r="WG42" s="218"/>
      <c r="WH42" s="218"/>
    </row>
    <row r="43" spans="1:607" ht="19.5" customHeight="1" x14ac:dyDescent="0.3">
      <c r="A43" s="215"/>
      <c r="B43" s="216"/>
      <c r="D43" s="227"/>
      <c r="F43" s="220"/>
      <c r="G43" s="220"/>
      <c r="H43" s="220"/>
      <c r="I43" s="220"/>
      <c r="J43" s="220"/>
      <c r="K43" s="220"/>
      <c r="L43" s="220"/>
      <c r="M43" s="220"/>
      <c r="N43" s="220"/>
      <c r="O43" s="220"/>
      <c r="P43" s="220"/>
      <c r="V43" s="236"/>
      <c r="AA43" s="236"/>
      <c r="AC43" s="236"/>
      <c r="AD43" s="236"/>
      <c r="AE43" s="236"/>
      <c r="AF43" s="236"/>
      <c r="AG43" s="236"/>
      <c r="AH43" s="236"/>
      <c r="AI43" s="221"/>
      <c r="AJ43" s="264"/>
      <c r="AK43" s="264"/>
      <c r="AL43" s="239"/>
      <c r="AM43" s="239"/>
      <c r="AN43" s="239"/>
      <c r="AO43" s="239"/>
      <c r="AP43" s="239"/>
      <c r="AQ43" s="264"/>
      <c r="AR43" s="239"/>
      <c r="AS43" s="265"/>
      <c r="AT43" s="265"/>
      <c r="AU43" s="265"/>
      <c r="AV43" s="265"/>
      <c r="AW43" s="264"/>
      <c r="AX43" s="238"/>
      <c r="AY43" s="238"/>
      <c r="AZ43" s="238"/>
      <c r="BA43" s="238"/>
      <c r="BB43" s="238"/>
      <c r="BC43" s="264"/>
      <c r="BD43" s="238"/>
      <c r="BE43" s="267"/>
      <c r="BF43" s="267"/>
      <c r="BG43" s="267"/>
      <c r="BH43" s="267"/>
      <c r="BI43" s="264"/>
      <c r="BJ43" s="264"/>
      <c r="BK43" s="264"/>
      <c r="BL43" s="264"/>
      <c r="BM43" s="264"/>
      <c r="BN43" s="264"/>
      <c r="BO43" s="264"/>
      <c r="BP43" s="264"/>
      <c r="BQ43" s="264"/>
      <c r="BR43" s="264"/>
      <c r="BS43" s="264"/>
      <c r="BT43" s="264"/>
      <c r="BU43" s="264"/>
      <c r="BV43" s="264"/>
      <c r="BW43" s="264"/>
      <c r="BX43" s="264"/>
      <c r="BY43" s="264"/>
      <c r="BZ43" s="264"/>
      <c r="CA43" s="264"/>
      <c r="CB43" s="264"/>
      <c r="CC43" s="264"/>
      <c r="CD43" s="264"/>
      <c r="CE43" s="264"/>
      <c r="CF43" s="264"/>
      <c r="CG43" s="239"/>
      <c r="CH43" s="239"/>
      <c r="CI43" s="239"/>
      <c r="CJ43" s="239"/>
      <c r="CK43" s="241"/>
      <c r="CL43" s="239"/>
      <c r="CM43" s="239"/>
      <c r="CN43" s="239"/>
      <c r="CO43" s="239"/>
      <c r="CP43" s="241"/>
      <c r="CQ43" s="239"/>
      <c r="CR43" s="239"/>
      <c r="CS43" s="239"/>
      <c r="CT43" s="239"/>
      <c r="CU43" s="241"/>
      <c r="CV43" s="239"/>
      <c r="CW43" s="239"/>
      <c r="CX43" s="239"/>
      <c r="CY43" s="239"/>
      <c r="CZ43" s="241"/>
      <c r="DA43" s="265"/>
      <c r="DB43" s="265"/>
      <c r="DC43" s="265"/>
      <c r="DD43" s="265"/>
      <c r="DE43" s="220"/>
      <c r="DF43" s="264"/>
      <c r="DG43" s="220"/>
      <c r="DH43" s="220"/>
      <c r="DI43" s="220"/>
      <c r="DJ43" s="220"/>
      <c r="DK43" s="220"/>
      <c r="DL43" s="220"/>
      <c r="DM43" s="220"/>
      <c r="DN43" s="267"/>
      <c r="DO43" s="220"/>
      <c r="DP43" s="220"/>
      <c r="DQ43" s="220"/>
      <c r="DR43" s="220"/>
      <c r="DS43" s="220"/>
      <c r="DT43" s="220"/>
      <c r="DU43" s="265"/>
      <c r="DV43" s="265"/>
      <c r="DW43" s="265"/>
      <c r="DX43" s="265"/>
      <c r="DY43" s="265"/>
      <c r="DZ43" s="265"/>
      <c r="EA43" s="265"/>
      <c r="EB43" s="265"/>
      <c r="EC43" s="265"/>
      <c r="ED43" s="265"/>
      <c r="EE43" s="265"/>
      <c r="EF43" s="265"/>
      <c r="EG43" s="265"/>
      <c r="EH43" s="265"/>
      <c r="EI43" s="265"/>
      <c r="EJ43" s="265"/>
      <c r="EK43" s="265"/>
      <c r="EL43" s="265"/>
      <c r="EM43" s="265"/>
      <c r="EN43" s="265"/>
      <c r="EO43" s="265"/>
      <c r="EP43" s="265"/>
      <c r="EQ43" s="265"/>
      <c r="ER43" s="265"/>
      <c r="ES43" s="265"/>
      <c r="ET43" s="265"/>
      <c r="EU43" s="265"/>
      <c r="EV43" s="265"/>
      <c r="EW43" s="265"/>
      <c r="EX43" s="265"/>
      <c r="EY43" s="265"/>
      <c r="EZ43" s="265"/>
      <c r="FA43" s="265"/>
      <c r="FB43" s="265"/>
      <c r="FC43" s="265"/>
      <c r="FD43" s="265"/>
      <c r="FE43" s="239"/>
      <c r="FF43" s="239"/>
      <c r="FG43" s="239"/>
      <c r="FH43" s="239"/>
      <c r="FI43" s="239"/>
      <c r="FJ43" s="239"/>
      <c r="FK43" s="239"/>
      <c r="FL43" s="239"/>
      <c r="FM43" s="239"/>
      <c r="FN43" s="239"/>
      <c r="FO43" s="265"/>
      <c r="FP43" s="265"/>
      <c r="FQ43" s="265"/>
      <c r="FR43" s="265"/>
      <c r="FS43" s="265"/>
      <c r="FT43" s="265"/>
      <c r="FU43" s="265"/>
      <c r="FV43" s="265"/>
      <c r="FW43" s="265"/>
      <c r="FX43" s="265"/>
      <c r="FY43" s="265"/>
      <c r="FZ43" s="265"/>
      <c r="GA43" s="265"/>
      <c r="GB43" s="265"/>
      <c r="GC43" s="265"/>
      <c r="GD43" s="265"/>
      <c r="GE43" s="265"/>
      <c r="GF43" s="265"/>
      <c r="GG43" s="265"/>
      <c r="GH43" s="265"/>
      <c r="GI43" s="265"/>
      <c r="GJ43" s="265"/>
      <c r="GK43" s="265"/>
      <c r="GL43" s="265"/>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2"/>
      <c r="ID43" s="242"/>
      <c r="IE43" s="242"/>
      <c r="IF43" s="242"/>
      <c r="IG43" s="242"/>
      <c r="IH43" s="242"/>
      <c r="II43" s="242"/>
      <c r="IJ43" s="242"/>
      <c r="IK43" s="242"/>
      <c r="IL43" s="242"/>
      <c r="IM43" s="242"/>
      <c r="IN43" s="242"/>
      <c r="IO43" s="241"/>
      <c r="IP43" s="1133"/>
      <c r="IQ43" s="1133"/>
      <c r="IR43" s="241"/>
      <c r="IS43" s="241"/>
      <c r="IT43" s="241"/>
      <c r="IU43" s="241"/>
      <c r="IV43" s="241"/>
      <c r="IW43" s="241"/>
      <c r="IX43" s="241"/>
      <c r="IY43" s="1133"/>
      <c r="IZ43" s="1133"/>
      <c r="JA43" s="241"/>
      <c r="JB43" s="241"/>
      <c r="JC43" s="241"/>
      <c r="JD43" s="241"/>
      <c r="JE43" s="241"/>
      <c r="JF43" s="241"/>
      <c r="JG43" s="241"/>
      <c r="JH43" s="1133"/>
      <c r="JI43" s="1133"/>
      <c r="JJ43" s="241"/>
      <c r="JK43" s="241"/>
      <c r="JL43" s="241"/>
      <c r="JM43" s="241"/>
      <c r="JN43" s="241"/>
      <c r="JO43" s="241"/>
      <c r="JP43" s="241"/>
      <c r="JQ43" s="1133"/>
      <c r="JR43" s="1133"/>
      <c r="JS43" s="241"/>
      <c r="JT43" s="241"/>
      <c r="JU43" s="241"/>
      <c r="JV43" s="241"/>
      <c r="JW43" s="241"/>
      <c r="JX43" s="241"/>
      <c r="JY43" s="241"/>
      <c r="JZ43" s="241"/>
      <c r="KA43" s="241"/>
      <c r="KB43" s="1177"/>
      <c r="KC43" s="1226"/>
      <c r="KD43" s="241"/>
      <c r="KI43" s="241"/>
      <c r="KJ43" s="241"/>
      <c r="KK43" s="1192"/>
      <c r="KL43" s="1276"/>
      <c r="KM43" s="239"/>
      <c r="KN43" s="239"/>
      <c r="KO43" s="241"/>
      <c r="KP43" s="241"/>
      <c r="KQ43" s="1192"/>
      <c r="KR43" s="1276"/>
      <c r="KS43" s="265"/>
      <c r="KT43" s="265"/>
      <c r="KU43" s="1117"/>
      <c r="KV43" s="1117"/>
      <c r="KW43" s="1117"/>
      <c r="KX43" s="1117"/>
      <c r="KY43" s="1117"/>
      <c r="KZ43" s="1117"/>
      <c r="LA43" s="1117"/>
      <c r="LB43" s="1117"/>
      <c r="LC43" s="1117"/>
      <c r="LD43" s="1117"/>
      <c r="LE43" s="1117"/>
      <c r="LF43" s="1117"/>
      <c r="MY43" s="239"/>
      <c r="MZ43" s="239"/>
      <c r="NA43" s="239"/>
      <c r="NB43" s="265"/>
      <c r="NC43" s="239"/>
      <c r="ND43" s="239"/>
      <c r="NE43" s="239"/>
      <c r="NF43" s="239"/>
      <c r="NG43" s="239"/>
      <c r="NH43" s="239"/>
      <c r="NI43" s="239"/>
      <c r="NJ43" s="239"/>
      <c r="NK43" s="239"/>
      <c r="NL43" s="239"/>
      <c r="NM43" s="239"/>
      <c r="NN43" s="239"/>
      <c r="NO43" s="239"/>
      <c r="NP43" s="239"/>
      <c r="NQ43" s="239"/>
      <c r="NR43" s="239"/>
      <c r="NS43" s="239"/>
      <c r="NT43" s="239"/>
      <c r="NU43" s="239"/>
      <c r="NV43" s="239"/>
      <c r="NW43" s="239"/>
      <c r="NX43" s="239"/>
      <c r="NY43" s="239"/>
      <c r="NZ43" s="239"/>
      <c r="OA43" s="238"/>
      <c r="OD43" s="238"/>
      <c r="OG43" s="252"/>
      <c r="OH43" s="252"/>
      <c r="OI43" s="252"/>
      <c r="OJ43" s="252"/>
      <c r="OK43" s="252"/>
      <c r="OL43" s="252"/>
      <c r="OM43" s="252"/>
      <c r="ON43" s="252"/>
      <c r="OO43" s="252"/>
      <c r="OP43" s="252"/>
      <c r="OQ43" s="252"/>
      <c r="OR43" s="252"/>
      <c r="OS43" s="239"/>
      <c r="OT43" s="239"/>
      <c r="OU43" s="239"/>
      <c r="OV43" s="239"/>
      <c r="OW43" s="239"/>
      <c r="OX43" s="239"/>
      <c r="OY43" s="239"/>
      <c r="OZ43" s="239"/>
      <c r="PA43" s="239"/>
      <c r="PB43" s="239"/>
      <c r="PC43" s="265"/>
      <c r="PD43" s="265"/>
      <c r="PE43" s="239"/>
      <c r="PF43" s="239"/>
      <c r="PG43" s="239"/>
      <c r="PH43" s="239"/>
      <c r="PI43" s="239"/>
      <c r="PJ43" s="239"/>
      <c r="PK43" s="239"/>
      <c r="PL43" s="238"/>
      <c r="PM43" s="238"/>
      <c r="PN43" s="239"/>
      <c r="PO43" s="239"/>
      <c r="PP43" s="239"/>
      <c r="PQ43" s="239"/>
      <c r="PR43" s="239"/>
      <c r="PS43" s="239"/>
      <c r="PT43" s="239"/>
      <c r="PU43" s="267"/>
      <c r="PV43" s="267"/>
      <c r="PW43" s="239"/>
      <c r="PX43" s="239"/>
      <c r="PY43" s="239"/>
      <c r="PZ43" s="239"/>
      <c r="QA43" s="239"/>
      <c r="QB43" s="239"/>
      <c r="QC43" s="239"/>
      <c r="QD43" s="239"/>
      <c r="QE43" s="239"/>
      <c r="QF43" s="239"/>
      <c r="QG43" s="239"/>
      <c r="QH43" s="239"/>
      <c r="QI43" s="239"/>
      <c r="QJ43" s="239"/>
      <c r="QK43" s="239"/>
      <c r="QL43" s="239"/>
      <c r="QM43" s="239"/>
      <c r="QN43" s="239"/>
      <c r="QO43" s="239"/>
      <c r="QP43" s="239"/>
      <c r="QQ43" s="239"/>
      <c r="QR43" s="239"/>
      <c r="QS43" s="239"/>
      <c r="QT43" s="239"/>
      <c r="QU43" s="239"/>
      <c r="QV43" s="239"/>
      <c r="QW43" s="239"/>
      <c r="QX43" s="239"/>
      <c r="QY43" s="239"/>
      <c r="QZ43" s="239"/>
      <c r="RA43" s="239"/>
      <c r="RB43" s="239"/>
      <c r="RC43" s="239"/>
      <c r="RD43" s="239"/>
      <c r="RE43" s="239"/>
      <c r="RF43" s="239"/>
      <c r="RG43" s="239"/>
      <c r="RH43" s="239"/>
      <c r="RI43" s="239"/>
      <c r="RJ43" s="239"/>
      <c r="RK43" s="220"/>
      <c r="RL43" s="220"/>
      <c r="RM43" s="220"/>
      <c r="RN43" s="220"/>
      <c r="RO43" s="220"/>
      <c r="RP43" s="220"/>
      <c r="RQ43" s="220"/>
      <c r="RR43" s="220"/>
      <c r="RS43" s="227"/>
      <c r="RV43" s="221"/>
      <c r="RX43" s="221"/>
      <c r="RY43" s="241"/>
      <c r="RZ43" s="241"/>
      <c r="SA43" s="241"/>
      <c r="SB43" s="241"/>
      <c r="SC43" s="241"/>
      <c r="SD43" s="241"/>
      <c r="SE43" s="220"/>
      <c r="SF43" s="240"/>
      <c r="SG43" s="220"/>
      <c r="SH43" s="220"/>
      <c r="SI43" s="240"/>
      <c r="SJ43" s="240"/>
      <c r="SK43" s="220"/>
      <c r="SL43" s="220"/>
      <c r="SM43" s="220"/>
      <c r="SN43" s="220"/>
      <c r="SQ43" s="220"/>
      <c r="SR43" s="220"/>
      <c r="SS43" s="220"/>
      <c r="ST43" s="220"/>
      <c r="SU43" s="220"/>
      <c r="SV43" s="220"/>
      <c r="SW43" s="728">
        <f>'Проверочная  таблица'!UQ37+'Проверочная  таблица'!VK37</f>
        <v>20000000</v>
      </c>
      <c r="SX43" s="727">
        <f>'Проверочная  таблица'!UR37+'Проверочная  таблица'!VM37</f>
        <v>20000000</v>
      </c>
      <c r="SY43" s="242"/>
      <c r="SZ43" s="242"/>
      <c r="TA43" s="242"/>
      <c r="TB43" s="242"/>
      <c r="TC43" s="242"/>
      <c r="TD43" s="242"/>
      <c r="TE43" s="242"/>
      <c r="TF43" s="242"/>
      <c r="TG43" s="242"/>
      <c r="TH43" s="242"/>
      <c r="TI43" s="242"/>
      <c r="TJ43" s="242"/>
      <c r="TK43" s="242"/>
      <c r="TL43" s="242"/>
      <c r="TM43" s="242"/>
      <c r="TN43" s="242"/>
      <c r="TO43" s="242"/>
      <c r="TP43" s="242"/>
      <c r="TQ43" s="242"/>
      <c r="TR43" s="242"/>
      <c r="TS43" s="242"/>
      <c r="TT43" s="242"/>
      <c r="TU43" s="242"/>
      <c r="TV43" s="242"/>
      <c r="TW43" s="242"/>
      <c r="TX43" s="242"/>
      <c r="TY43" s="242"/>
      <c r="TZ43" s="242"/>
      <c r="UA43" s="242"/>
      <c r="UB43" s="242"/>
      <c r="UC43" s="242"/>
      <c r="UD43" s="242"/>
      <c r="UE43" s="242"/>
      <c r="UF43" s="242"/>
      <c r="UG43" s="242"/>
      <c r="UH43" s="242"/>
      <c r="UI43" s="242"/>
      <c r="UJ43" s="242"/>
      <c r="UK43" s="242"/>
      <c r="UL43" s="242"/>
      <c r="UM43" s="242"/>
      <c r="UN43" s="242"/>
      <c r="UO43" s="242"/>
      <c r="UP43" s="242"/>
      <c r="UQ43" s="242"/>
      <c r="UR43" s="242"/>
      <c r="US43" s="242"/>
      <c r="UT43" s="242"/>
      <c r="UU43" s="242"/>
      <c r="UV43" s="242"/>
      <c r="UW43" s="242"/>
      <c r="UX43" s="242"/>
      <c r="UY43" s="242"/>
      <c r="UZ43" s="242"/>
      <c r="VA43" s="242"/>
      <c r="VB43" s="242"/>
      <c r="VC43" s="242"/>
      <c r="VD43" s="242"/>
      <c r="VE43" s="242"/>
      <c r="VF43" s="242"/>
      <c r="VG43" s="242"/>
      <c r="VH43" s="242"/>
      <c r="VI43" s="242"/>
      <c r="VJ43" s="242"/>
      <c r="VK43" s="242"/>
      <c r="VL43" s="242"/>
      <c r="VM43" s="242"/>
      <c r="VN43" s="242"/>
      <c r="VO43" s="227"/>
      <c r="VP43" s="227"/>
      <c r="VQ43" s="355"/>
      <c r="VR43" s="355"/>
      <c r="VY43" s="355"/>
      <c r="VZ43" s="355"/>
    </row>
    <row r="44" spans="1:607" s="215" customFormat="1" ht="18.75" customHeight="1" x14ac:dyDescent="0.3">
      <c r="A44" s="1012" t="s">
        <v>137</v>
      </c>
      <c r="B44" s="1015">
        <f>D44+AI44+'Проверочная  таблица'!RS46+'Проверочная  таблица'!SW46</f>
        <v>11015704873.799999</v>
      </c>
      <c r="C44" s="1015">
        <f>E44+'Проверочная  таблица'!RV46+AJ44+'Проверочная  таблица'!SX46</f>
        <v>7025005688.5600004</v>
      </c>
      <c r="D44" s="235">
        <f>D34</f>
        <v>909746783</v>
      </c>
      <c r="E44" s="235">
        <f>E34</f>
        <v>727871841</v>
      </c>
      <c r="H44" s="473"/>
      <c r="AI44" s="235">
        <f>AI34</f>
        <v>3935882088.75</v>
      </c>
      <c r="AJ44" s="235">
        <f>AJ34</f>
        <v>1841663787.1700001</v>
      </c>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235"/>
      <c r="BZ44" s="235"/>
      <c r="CA44" s="235"/>
      <c r="CB44" s="235"/>
      <c r="CC44" s="235"/>
      <c r="CD44" s="235"/>
      <c r="CE44" s="235"/>
      <c r="CF44" s="235"/>
      <c r="CG44" s="235"/>
      <c r="CH44" s="235"/>
      <c r="CI44" s="235"/>
      <c r="CJ44" s="235"/>
      <c r="CK44" s="241"/>
      <c r="CL44" s="235"/>
      <c r="CM44" s="235"/>
      <c r="CN44" s="235"/>
      <c r="CO44" s="235"/>
      <c r="CP44" s="241"/>
      <c r="CQ44" s="235"/>
      <c r="CR44" s="235"/>
      <c r="CS44" s="235"/>
      <c r="CT44" s="235"/>
      <c r="CU44" s="241"/>
      <c r="CV44" s="235"/>
      <c r="CW44" s="235"/>
      <c r="CX44" s="235"/>
      <c r="CY44" s="235"/>
      <c r="CZ44" s="241"/>
      <c r="DA44" s="235"/>
      <c r="DB44" s="235"/>
      <c r="DC44" s="235"/>
      <c r="DD44" s="235"/>
      <c r="EK44" s="1190"/>
      <c r="EL44" s="1190"/>
      <c r="EM44" s="1190"/>
      <c r="EN44" s="1190"/>
      <c r="EO44" s="1190"/>
      <c r="EP44" s="1190"/>
      <c r="EQ44" s="1190"/>
      <c r="ER44" s="1190"/>
      <c r="EY44" s="1190"/>
      <c r="EZ44" s="1190"/>
      <c r="FA44" s="1190"/>
      <c r="FB44" s="1190"/>
      <c r="FC44" s="1190"/>
      <c r="FD44" s="1190"/>
      <c r="FE44" s="235"/>
      <c r="FF44" s="235"/>
      <c r="FG44" s="235"/>
      <c r="FH44" s="235"/>
      <c r="FI44" s="235"/>
      <c r="FJ44" s="235"/>
      <c r="FK44" s="235"/>
      <c r="FL44" s="235"/>
      <c r="FM44" s="235"/>
      <c r="FN44" s="235"/>
      <c r="GA44" s="235"/>
      <c r="GB44" s="235"/>
      <c r="GC44" s="235"/>
      <c r="GD44" s="235"/>
      <c r="GE44" s="235"/>
      <c r="GF44" s="235"/>
      <c r="GG44" s="235"/>
      <c r="GH44" s="235"/>
      <c r="GI44" s="235"/>
      <c r="GJ44" s="235"/>
      <c r="GK44" s="235"/>
      <c r="GL44" s="235"/>
      <c r="GY44" s="1190"/>
      <c r="GZ44" s="1190"/>
      <c r="HA44" s="1190"/>
      <c r="HB44" s="1190"/>
      <c r="HC44" s="1190"/>
      <c r="HD44" s="1190"/>
      <c r="HE44" s="242"/>
      <c r="HF44" s="242"/>
      <c r="HG44" s="242"/>
      <c r="HH44" s="242"/>
      <c r="HI44" s="242"/>
      <c r="HJ44" s="242"/>
      <c r="HK44" s="242"/>
      <c r="HL44" s="242"/>
      <c r="HM44" s="242"/>
      <c r="HN44" s="242"/>
      <c r="HO44" s="242"/>
      <c r="HP44" s="242"/>
      <c r="HQ44" s="242"/>
      <c r="HR44" s="242"/>
      <c r="HS44" s="242"/>
      <c r="HT44" s="242"/>
      <c r="HU44" s="242"/>
      <c r="HV44" s="242"/>
      <c r="HW44" s="242"/>
      <c r="HX44" s="242"/>
      <c r="HY44" s="242"/>
      <c r="HZ44" s="242"/>
      <c r="IA44" s="242"/>
      <c r="IB44" s="242"/>
      <c r="IC44" s="242"/>
      <c r="ID44" s="242"/>
      <c r="IE44" s="242"/>
      <c r="IF44" s="242"/>
      <c r="IG44" s="242"/>
      <c r="IH44" s="242"/>
      <c r="II44" s="242"/>
      <c r="IJ44" s="242"/>
      <c r="IK44" s="242"/>
      <c r="IL44" s="242"/>
      <c r="IM44" s="242"/>
      <c r="IN44" s="242"/>
      <c r="IO44" s="241"/>
      <c r="IP44" s="1133"/>
      <c r="IQ44" s="1133"/>
      <c r="IR44" s="241"/>
      <c r="IS44" s="241"/>
      <c r="IT44" s="241"/>
      <c r="IU44" s="241"/>
      <c r="IV44" s="241"/>
      <c r="IW44" s="241"/>
      <c r="IX44" s="241"/>
      <c r="IY44" s="1133"/>
      <c r="IZ44" s="1133"/>
      <c r="JA44" s="241"/>
      <c r="JB44" s="241"/>
      <c r="JC44" s="241"/>
      <c r="JD44" s="241"/>
      <c r="JE44" s="241"/>
      <c r="JF44" s="241"/>
      <c r="JG44" s="241"/>
      <c r="JH44" s="1133"/>
      <c r="JI44" s="1133"/>
      <c r="JJ44" s="241"/>
      <c r="JK44" s="241"/>
      <c r="JL44" s="241"/>
      <c r="JM44" s="241"/>
      <c r="JN44" s="241"/>
      <c r="JO44" s="241"/>
      <c r="JP44" s="241"/>
      <c r="JQ44" s="1133"/>
      <c r="JR44" s="1133"/>
      <c r="JS44" s="241"/>
      <c r="JT44" s="241"/>
      <c r="JU44" s="241"/>
      <c r="JV44" s="241"/>
      <c r="JW44" s="241"/>
      <c r="JX44" s="241"/>
      <c r="JY44" s="241"/>
      <c r="JZ44" s="241"/>
      <c r="KA44" s="241"/>
      <c r="KB44" s="1177"/>
      <c r="KC44" s="1226"/>
      <c r="KD44" s="241"/>
      <c r="KE44" s="241"/>
      <c r="KF44" s="388"/>
      <c r="KG44" s="388"/>
      <c r="KH44" s="388"/>
      <c r="KI44" s="241"/>
      <c r="KJ44" s="241"/>
      <c r="KK44" s="1192"/>
      <c r="KL44" s="1276"/>
      <c r="KM44" s="235"/>
      <c r="KN44" s="235"/>
      <c r="KO44" s="241"/>
      <c r="KP44" s="241"/>
      <c r="KQ44" s="1192"/>
      <c r="KR44" s="1276"/>
      <c r="KS44" s="235"/>
      <c r="KT44" s="235"/>
      <c r="KU44" s="1117"/>
      <c r="KV44" s="1117"/>
      <c r="KW44" s="1117"/>
      <c r="KX44" s="1117"/>
      <c r="KY44" s="1117"/>
      <c r="KZ44" s="1117"/>
      <c r="LA44" s="1117"/>
      <c r="LB44" s="1117"/>
      <c r="LC44" s="1117"/>
      <c r="LD44" s="1117"/>
      <c r="LE44" s="1117"/>
      <c r="LF44" s="1117"/>
      <c r="LJ44" s="1190"/>
      <c r="LL44" s="1190"/>
      <c r="LM44" s="1190"/>
      <c r="LQ44" s="1190"/>
      <c r="LS44" s="1190"/>
      <c r="LT44" s="1190"/>
      <c r="LX44" s="1190"/>
      <c r="MC44" s="1190"/>
      <c r="MY44" s="235"/>
      <c r="MZ44" s="235"/>
      <c r="NA44" s="235"/>
      <c r="NB44" s="235"/>
      <c r="NC44" s="235"/>
      <c r="ND44" s="235"/>
      <c r="NE44" s="235"/>
      <c r="NF44" s="235"/>
      <c r="NG44" s="235"/>
      <c r="NH44" s="235"/>
      <c r="NI44" s="235"/>
      <c r="NJ44" s="235"/>
      <c r="NK44" s="235"/>
      <c r="NL44" s="235"/>
      <c r="NM44" s="235"/>
      <c r="NN44" s="235"/>
      <c r="NO44" s="235"/>
      <c r="NP44" s="235"/>
      <c r="NQ44" s="235"/>
      <c r="NR44" s="235"/>
      <c r="NS44" s="235"/>
      <c r="NT44" s="235"/>
      <c r="NU44" s="235"/>
      <c r="NV44" s="235"/>
      <c r="NW44" s="235"/>
      <c r="NX44" s="235"/>
      <c r="NY44" s="235"/>
      <c r="NZ44" s="235"/>
      <c r="OA44" s="235"/>
      <c r="OD44" s="235"/>
      <c r="OG44" s="235"/>
      <c r="OH44" s="235"/>
      <c r="OI44" s="235"/>
      <c r="OJ44" s="235"/>
      <c r="OK44" s="235"/>
      <c r="OL44" s="235"/>
      <c r="OM44" s="235"/>
      <c r="ON44" s="235"/>
      <c r="OO44" s="235"/>
      <c r="OP44" s="235"/>
      <c r="OQ44" s="235"/>
      <c r="OR44" s="235"/>
      <c r="OS44" s="235"/>
      <c r="OT44" s="235"/>
      <c r="OU44" s="235"/>
      <c r="OV44" s="235"/>
      <c r="OW44" s="235"/>
      <c r="OX44" s="235"/>
      <c r="OY44" s="235"/>
      <c r="OZ44" s="235"/>
      <c r="PA44" s="235"/>
      <c r="PB44" s="235"/>
      <c r="PC44" s="235"/>
      <c r="PD44" s="235"/>
      <c r="PE44" s="235"/>
      <c r="PF44" s="235"/>
      <c r="PG44" s="235"/>
      <c r="PH44" s="235"/>
      <c r="PI44" s="235"/>
      <c r="PJ44" s="235"/>
      <c r="PK44" s="235"/>
      <c r="PL44" s="235"/>
      <c r="PM44" s="235"/>
      <c r="PN44" s="235"/>
      <c r="PO44" s="235"/>
      <c r="PP44" s="235"/>
      <c r="PQ44" s="235"/>
      <c r="PR44" s="235"/>
      <c r="PS44" s="235"/>
      <c r="PT44" s="235"/>
      <c r="PU44" s="235"/>
      <c r="PV44" s="235"/>
      <c r="PW44" s="235"/>
      <c r="PX44" s="235"/>
      <c r="PY44" s="235"/>
      <c r="PZ44" s="235"/>
      <c r="QA44" s="235"/>
      <c r="QB44" s="235"/>
      <c r="QC44" s="235"/>
      <c r="QD44" s="235"/>
      <c r="QE44" s="235"/>
      <c r="QF44" s="235"/>
      <c r="QG44" s="235"/>
      <c r="QH44" s="235"/>
      <c r="QI44" s="235"/>
      <c r="QJ44" s="235"/>
      <c r="QK44" s="235"/>
      <c r="QL44" s="235"/>
      <c r="QM44" s="235"/>
      <c r="QN44" s="235"/>
      <c r="QO44" s="235"/>
      <c r="QP44" s="235"/>
      <c r="QQ44" s="235"/>
      <c r="QR44" s="235"/>
      <c r="QS44" s="235"/>
      <c r="QT44" s="235"/>
      <c r="QU44" s="235"/>
      <c r="QV44" s="235"/>
      <c r="QW44" s="235"/>
      <c r="QX44" s="235"/>
      <c r="QY44" s="235"/>
      <c r="QZ44" s="235"/>
      <c r="RA44" s="235"/>
      <c r="RB44" s="235"/>
      <c r="RC44" s="235"/>
      <c r="RD44" s="235"/>
      <c r="RE44" s="235"/>
      <c r="RF44" s="235"/>
      <c r="RG44" s="235"/>
      <c r="RH44" s="235"/>
      <c r="RI44" s="235"/>
      <c r="RJ44" s="235"/>
      <c r="RR44" s="218"/>
      <c r="RS44" s="218"/>
      <c r="RT44" s="218"/>
      <c r="RU44" s="218"/>
      <c r="RV44" s="218"/>
      <c r="SW44" s="252">
        <f>SW43-'Район  и  поселения'!AD36</f>
        <v>0</v>
      </c>
      <c r="SX44" s="252">
        <f>SX43-'Район  и  поселения'!BH36</f>
        <v>0</v>
      </c>
      <c r="SY44" s="252"/>
      <c r="SZ44" s="252"/>
      <c r="TA44" s="252"/>
      <c r="TB44" s="252"/>
      <c r="TC44" s="252"/>
      <c r="TD44" s="252"/>
      <c r="TE44" s="252"/>
      <c r="TF44" s="252"/>
      <c r="TG44" s="252"/>
      <c r="TH44" s="252"/>
      <c r="TI44" s="252"/>
      <c r="TJ44" s="252"/>
      <c r="TK44" s="252"/>
      <c r="TL44" s="252"/>
      <c r="TM44" s="252"/>
      <c r="TN44" s="252"/>
      <c r="TO44" s="252"/>
      <c r="TP44" s="252"/>
      <c r="TQ44" s="252"/>
      <c r="TR44" s="252"/>
      <c r="TS44" s="252"/>
      <c r="TT44" s="252"/>
      <c r="TU44" s="252"/>
      <c r="TV44" s="252"/>
      <c r="TW44" s="252"/>
      <c r="TX44" s="252"/>
      <c r="TY44" s="252"/>
      <c r="TZ44" s="252"/>
      <c r="UA44" s="252"/>
      <c r="UB44" s="252"/>
      <c r="UC44" s="252"/>
      <c r="UD44" s="252"/>
      <c r="UE44" s="252"/>
      <c r="UF44" s="252"/>
      <c r="UG44" s="252"/>
      <c r="UH44" s="252"/>
      <c r="UI44" s="252"/>
      <c r="UJ44" s="252"/>
      <c r="UK44" s="252"/>
      <c r="UL44" s="252"/>
      <c r="UM44" s="252"/>
      <c r="UN44" s="252"/>
      <c r="UO44" s="252"/>
      <c r="UP44" s="252"/>
      <c r="UQ44" s="252"/>
      <c r="UR44" s="252"/>
      <c r="US44" s="252"/>
      <c r="UT44" s="252"/>
      <c r="UU44" s="252"/>
      <c r="UV44" s="252"/>
      <c r="UW44" s="252"/>
      <c r="UX44" s="252"/>
      <c r="UY44" s="242"/>
      <c r="UZ44" s="242"/>
      <c r="VA44" s="242"/>
      <c r="VB44" s="242"/>
      <c r="VC44" s="242"/>
      <c r="VD44" s="242"/>
      <c r="VE44" s="242"/>
      <c r="VF44" s="242"/>
      <c r="VG44" s="242"/>
      <c r="VH44" s="242"/>
      <c r="VI44" s="242"/>
      <c r="VJ44" s="242"/>
      <c r="VK44" s="242"/>
      <c r="VL44" s="242"/>
      <c r="VM44" s="242"/>
      <c r="VN44" s="242"/>
      <c r="VO44" s="227"/>
      <c r="VP44" s="227"/>
      <c r="VQ44" s="355"/>
      <c r="VR44" s="355"/>
      <c r="VS44" s="218"/>
      <c r="VT44" s="218"/>
      <c r="VU44" s="218"/>
      <c r="VV44" s="218"/>
      <c r="VW44" s="218"/>
      <c r="VX44" s="218"/>
      <c r="VY44" s="218"/>
      <c r="VZ44" s="218"/>
      <c r="WA44" s="218"/>
      <c r="WB44" s="218"/>
      <c r="WC44" s="218"/>
      <c r="WD44" s="218"/>
      <c r="WE44" s="218"/>
      <c r="WF44" s="218"/>
      <c r="WG44" s="218"/>
      <c r="WH44" s="218"/>
    </row>
    <row r="45" spans="1:607" ht="19.5" customHeight="1" x14ac:dyDescent="0.3">
      <c r="A45" s="1012" t="s">
        <v>136</v>
      </c>
      <c r="B45" s="1015">
        <f>D45+AI45+'Проверочная  таблица'!RS47+'Проверочная  таблица'!SW47</f>
        <v>8535856736.8799992</v>
      </c>
      <c r="C45" s="1015">
        <f>E45+'Проверочная  таблица'!RV47+AJ45+'Проверочная  таблица'!SX47</f>
        <v>6791854680.6000004</v>
      </c>
      <c r="D45" s="221">
        <f>D30-D46</f>
        <v>800700617</v>
      </c>
      <c r="E45" s="221">
        <f>E30-E46</f>
        <v>658969676.68000007</v>
      </c>
      <c r="V45" s="215"/>
      <c r="AA45" s="215"/>
      <c r="AC45" s="215"/>
      <c r="AD45" s="215"/>
      <c r="AE45" s="215"/>
      <c r="AF45" s="215"/>
      <c r="AG45" s="215"/>
      <c r="AH45" s="215"/>
      <c r="AI45" s="221">
        <f>AI30-AI46</f>
        <v>2109028099.8799996</v>
      </c>
      <c r="AJ45" s="221">
        <f>AJ30-AJ46</f>
        <v>1674608343.3200002</v>
      </c>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41"/>
      <c r="CL45" s="221"/>
      <c r="CM45" s="221"/>
      <c r="CN45" s="221"/>
      <c r="CO45" s="221"/>
      <c r="CP45" s="241"/>
      <c r="CQ45" s="221"/>
      <c r="CR45" s="221"/>
      <c r="CS45" s="221"/>
      <c r="CT45" s="221"/>
      <c r="CU45" s="241"/>
      <c r="CV45" s="221"/>
      <c r="CW45" s="221"/>
      <c r="CX45" s="221"/>
      <c r="CY45" s="221"/>
      <c r="CZ45" s="241"/>
      <c r="DA45" s="221"/>
      <c r="DB45" s="221"/>
      <c r="DC45" s="221"/>
      <c r="DD45" s="221"/>
      <c r="FE45" s="221"/>
      <c r="FF45" s="221"/>
      <c r="FG45" s="221"/>
      <c r="FH45" s="221"/>
      <c r="FI45" s="221"/>
      <c r="FJ45" s="221"/>
      <c r="FK45" s="221"/>
      <c r="FL45" s="221"/>
      <c r="FM45" s="221"/>
      <c r="FN45" s="221"/>
      <c r="GA45" s="221"/>
      <c r="GB45" s="221"/>
      <c r="GC45" s="221"/>
      <c r="GD45" s="221"/>
      <c r="GE45" s="221"/>
      <c r="GF45" s="221"/>
      <c r="GG45" s="221"/>
      <c r="GH45" s="221"/>
      <c r="GI45" s="221"/>
      <c r="GJ45" s="221"/>
      <c r="GK45" s="221"/>
      <c r="GL45" s="221"/>
      <c r="HE45" s="242"/>
      <c r="HF45" s="242"/>
      <c r="HG45" s="242"/>
      <c r="HH45" s="242"/>
      <c r="HI45" s="242"/>
      <c r="HJ45" s="242"/>
      <c r="HK45" s="242"/>
      <c r="HL45" s="242"/>
      <c r="HM45" s="242"/>
      <c r="HN45" s="242"/>
      <c r="HO45" s="242"/>
      <c r="HP45" s="242"/>
      <c r="HQ45" s="242"/>
      <c r="HR45" s="242"/>
      <c r="HS45" s="242"/>
      <c r="HT45" s="242"/>
      <c r="HU45" s="242"/>
      <c r="HV45" s="242"/>
      <c r="HW45" s="242"/>
      <c r="HX45" s="242"/>
      <c r="HY45" s="242"/>
      <c r="HZ45" s="242"/>
      <c r="IA45" s="242"/>
      <c r="IB45" s="242"/>
      <c r="IC45" s="242"/>
      <c r="ID45" s="242"/>
      <c r="IE45" s="242"/>
      <c r="IF45" s="242"/>
      <c r="IG45" s="242"/>
      <c r="IH45" s="242"/>
      <c r="II45" s="242"/>
      <c r="IJ45" s="242"/>
      <c r="IK45" s="242"/>
      <c r="IL45" s="242"/>
      <c r="IM45" s="242"/>
      <c r="IN45" s="242"/>
      <c r="IO45" s="241"/>
      <c r="IP45" s="1133"/>
      <c r="IQ45" s="1133"/>
      <c r="IR45" s="241"/>
      <c r="IS45" s="241"/>
      <c r="IT45" s="241"/>
      <c r="IU45" s="241"/>
      <c r="IV45" s="241"/>
      <c r="IW45" s="241"/>
      <c r="IX45" s="241"/>
      <c r="IY45" s="1133"/>
      <c r="IZ45" s="1133"/>
      <c r="JA45" s="241"/>
      <c r="JB45" s="241"/>
      <c r="JC45" s="241"/>
      <c r="JD45" s="241"/>
      <c r="JE45" s="241"/>
      <c r="JF45" s="241"/>
      <c r="JG45" s="241"/>
      <c r="JH45" s="1133"/>
      <c r="JI45" s="1133"/>
      <c r="JJ45" s="241"/>
      <c r="JK45" s="241"/>
      <c r="JL45" s="241"/>
      <c r="JM45" s="241"/>
      <c r="JN45" s="241"/>
      <c r="JO45" s="241"/>
      <c r="JP45" s="241"/>
      <c r="JQ45" s="1133"/>
      <c r="JR45" s="1133"/>
      <c r="JS45" s="241"/>
      <c r="JT45" s="241"/>
      <c r="JU45" s="241"/>
      <c r="JV45" s="241"/>
      <c r="JW45" s="241"/>
      <c r="JX45" s="241"/>
      <c r="JY45" s="241"/>
      <c r="JZ45" s="241"/>
      <c r="KA45" s="241"/>
      <c r="KB45" s="1177"/>
      <c r="KC45" s="1226"/>
      <c r="KD45" s="241"/>
      <c r="KE45" s="241"/>
      <c r="KF45" s="388"/>
      <c r="KG45" s="388"/>
      <c r="KH45" s="388"/>
      <c r="KI45" s="241"/>
      <c r="KJ45" s="241"/>
      <c r="KK45" s="1192"/>
      <c r="KL45" s="1276"/>
      <c r="KM45" s="221"/>
      <c r="KN45" s="221"/>
      <c r="KO45" s="241"/>
      <c r="KP45" s="241"/>
      <c r="KQ45" s="1192"/>
      <c r="KR45" s="1276"/>
      <c r="KS45" s="221"/>
      <c r="KT45" s="221"/>
      <c r="KU45" s="1117"/>
      <c r="KV45" s="1117"/>
      <c r="KW45" s="1117"/>
      <c r="KX45" s="1117"/>
      <c r="KY45" s="1117"/>
      <c r="KZ45" s="1117"/>
      <c r="LA45" s="1117"/>
      <c r="LB45" s="1117"/>
      <c r="LC45" s="1117"/>
      <c r="LD45" s="1117"/>
      <c r="LE45" s="1117"/>
      <c r="LF45" s="1117"/>
      <c r="MY45" s="221"/>
      <c r="MZ45" s="221"/>
      <c r="NA45" s="221"/>
      <c r="NB45" s="221"/>
      <c r="NC45" s="221"/>
      <c r="ND45" s="221"/>
      <c r="NE45" s="221"/>
      <c r="NF45" s="221"/>
      <c r="NG45" s="221"/>
      <c r="NH45" s="221"/>
      <c r="NI45" s="221"/>
      <c r="NJ45" s="221"/>
      <c r="NK45" s="221"/>
      <c r="NL45" s="221"/>
      <c r="NM45" s="221"/>
      <c r="NN45" s="221"/>
      <c r="NO45" s="221"/>
      <c r="NP45" s="221"/>
      <c r="NQ45" s="221"/>
      <c r="NR45" s="221"/>
      <c r="NS45" s="221"/>
      <c r="NT45" s="221"/>
      <c r="NU45" s="221"/>
      <c r="NV45" s="221"/>
      <c r="NW45" s="221"/>
      <c r="NX45" s="221"/>
      <c r="NY45" s="221"/>
      <c r="NZ45" s="221"/>
      <c r="OA45" s="221"/>
      <c r="OD45" s="221"/>
      <c r="OG45" s="221"/>
      <c r="OH45" s="221"/>
      <c r="OI45" s="221"/>
      <c r="OJ45" s="221"/>
      <c r="OK45" s="221"/>
      <c r="OL45" s="221"/>
      <c r="OM45" s="221"/>
      <c r="ON45" s="221"/>
      <c r="OO45" s="221"/>
      <c r="OP45" s="221"/>
      <c r="OQ45" s="221"/>
      <c r="OR45" s="221"/>
      <c r="OS45" s="221"/>
      <c r="OT45" s="221"/>
      <c r="OU45" s="221"/>
      <c r="OV45" s="221"/>
      <c r="OW45" s="221"/>
      <c r="OX45" s="221"/>
      <c r="OY45" s="221"/>
      <c r="OZ45" s="221"/>
      <c r="PA45" s="221"/>
      <c r="PB45" s="221"/>
      <c r="PC45" s="221"/>
      <c r="PD45" s="221"/>
      <c r="PE45" s="221"/>
      <c r="PF45" s="221"/>
      <c r="PG45" s="221"/>
      <c r="PH45" s="221"/>
      <c r="PI45" s="221"/>
      <c r="PJ45" s="221"/>
      <c r="PK45" s="221"/>
      <c r="PL45" s="221"/>
      <c r="PM45" s="221"/>
      <c r="PN45" s="221"/>
      <c r="PO45" s="221"/>
      <c r="PP45" s="221"/>
      <c r="PQ45" s="221"/>
      <c r="PR45" s="221"/>
      <c r="PS45" s="221"/>
      <c r="PT45" s="221"/>
      <c r="PU45" s="221"/>
      <c r="PV45" s="221"/>
      <c r="PW45" s="221"/>
      <c r="PX45" s="221"/>
      <c r="PY45" s="221"/>
      <c r="PZ45" s="221"/>
      <c r="QA45" s="221"/>
      <c r="QB45" s="221"/>
      <c r="QC45" s="221"/>
      <c r="QD45" s="221"/>
      <c r="QE45" s="221"/>
      <c r="QF45" s="221"/>
      <c r="QG45" s="221"/>
      <c r="QH45" s="221"/>
      <c r="QI45" s="221"/>
      <c r="QJ45" s="221"/>
      <c r="QK45" s="221"/>
      <c r="QL45" s="221"/>
      <c r="QM45" s="221"/>
      <c r="QN45" s="221"/>
      <c r="QO45" s="221"/>
      <c r="QP45" s="221"/>
      <c r="QQ45" s="221"/>
      <c r="QR45" s="221"/>
      <c r="QS45" s="221"/>
      <c r="QT45" s="221"/>
      <c r="QU45" s="221"/>
      <c r="QV45" s="221"/>
      <c r="QW45" s="221"/>
      <c r="QX45" s="221"/>
      <c r="QY45" s="221"/>
      <c r="QZ45" s="221"/>
      <c r="RA45" s="221"/>
      <c r="RB45" s="221"/>
      <c r="RC45" s="221"/>
      <c r="RD45" s="221"/>
      <c r="RE45" s="221"/>
      <c r="RF45" s="221"/>
      <c r="RG45" s="221"/>
      <c r="RH45" s="221"/>
      <c r="RI45" s="221"/>
      <c r="RJ45" s="221"/>
      <c r="RO45" s="215"/>
      <c r="RP45" s="215"/>
      <c r="RQ45" s="215"/>
      <c r="SI45" s="243"/>
      <c r="SJ45" s="243"/>
      <c r="SK45" s="243"/>
      <c r="SL45" s="243"/>
      <c r="SM45" s="243"/>
      <c r="SN45" s="243"/>
      <c r="SW45" s="242"/>
      <c r="SX45" s="242"/>
      <c r="SY45" s="242"/>
      <c r="SZ45" s="242"/>
      <c r="TA45" s="242"/>
      <c r="TB45" s="242"/>
      <c r="TC45" s="242"/>
      <c r="TD45" s="242"/>
      <c r="TE45" s="242"/>
      <c r="TF45" s="242"/>
      <c r="TG45" s="242"/>
      <c r="TH45" s="242"/>
      <c r="TI45" s="242"/>
      <c r="TJ45" s="242"/>
      <c r="TK45" s="242"/>
      <c r="TL45" s="242"/>
      <c r="TM45" s="242"/>
      <c r="TN45" s="242"/>
      <c r="TO45" s="242"/>
      <c r="TP45" s="242"/>
      <c r="TQ45" s="242"/>
      <c r="TR45" s="242"/>
      <c r="TS45" s="242"/>
      <c r="TT45" s="242"/>
      <c r="TU45" s="242"/>
      <c r="TV45" s="242"/>
      <c r="TW45" s="242"/>
      <c r="TX45" s="242"/>
      <c r="TY45" s="242"/>
      <c r="TZ45" s="242"/>
      <c r="UA45" s="242"/>
      <c r="UB45" s="242"/>
      <c r="UC45" s="242"/>
      <c r="UD45" s="242"/>
      <c r="UE45" s="242"/>
      <c r="UF45" s="242"/>
      <c r="UG45" s="242"/>
      <c r="UH45" s="242"/>
      <c r="UI45" s="242"/>
      <c r="UJ45" s="242"/>
      <c r="UK45" s="242"/>
      <c r="UL45" s="242"/>
      <c r="UM45" s="242"/>
      <c r="UN45" s="242"/>
      <c r="UO45" s="242"/>
      <c r="UP45" s="242"/>
      <c r="UQ45" s="242"/>
      <c r="UR45" s="242"/>
      <c r="US45" s="242"/>
      <c r="UT45" s="242"/>
      <c r="UU45" s="242"/>
      <c r="UV45" s="242"/>
      <c r="UW45" s="242"/>
      <c r="UX45" s="242"/>
      <c r="UY45" s="242"/>
      <c r="UZ45" s="242"/>
      <c r="VA45" s="242"/>
      <c r="VB45" s="242"/>
      <c r="VC45" s="242"/>
      <c r="VD45" s="242"/>
      <c r="VE45" s="242"/>
      <c r="VF45" s="242"/>
      <c r="VG45" s="242"/>
      <c r="VH45" s="242"/>
      <c r="VI45" s="242"/>
      <c r="VJ45" s="242"/>
      <c r="VK45" s="242"/>
      <c r="VL45" s="242"/>
      <c r="VM45" s="242"/>
      <c r="VN45" s="242"/>
      <c r="VO45" s="227"/>
      <c r="VP45" s="227"/>
      <c r="VQ45" s="355"/>
      <c r="VR45" s="355"/>
      <c r="VY45" s="355"/>
      <c r="VZ45" s="355"/>
    </row>
    <row r="46" spans="1:607" ht="18.75" customHeight="1" x14ac:dyDescent="0.3">
      <c r="A46" s="1012" t="s">
        <v>108</v>
      </c>
      <c r="B46" s="1015">
        <f>D46+AI46+'Проверочная  таблица'!RS48+'Проверочная  таблица'!SW48</f>
        <v>2740805652.8500004</v>
      </c>
      <c r="C46" s="1015">
        <f>E46+'Проверочная  таблица'!RV48+AJ46+'Проверочная  таблица'!SX48</f>
        <v>1915384495.76</v>
      </c>
      <c r="D46" s="221">
        <f>P30+AA30+H37</f>
        <v>1044287100</v>
      </c>
      <c r="E46" s="221">
        <f>Q30+AB30+I37</f>
        <v>830127325.83999991</v>
      </c>
      <c r="V46" s="215"/>
      <c r="AA46" s="215"/>
      <c r="AC46" s="215"/>
      <c r="AD46" s="215"/>
      <c r="AE46" s="215"/>
      <c r="AF46" s="215"/>
      <c r="AG46" s="215"/>
      <c r="AH46" s="215"/>
      <c r="AI46" s="221">
        <f>OA37+'Проверочная  таблица'!RM37+DG37+DO37+'Проверочная  таблица'!NC37+CQ37+'Проверочная  таблица'!LU37+'Проверочная  таблица'!GG37+'Проверочная  таблица'!HW37+'Проверочная  таблица'!KU37+PG37+EK37+AW37</f>
        <v>1459017052.8500004</v>
      </c>
      <c r="AJ46" s="221">
        <f>OD37+'Проверочная  таблица'!RN37+DH37+DP37+'Проверочная  таблица'!NF37+CV37+'Проверочная  таблица'!LZ37+'Проверочная  таблица'!GJ37+'Проверочная  таблица'!IF37+'Проверочная  таблица'!KY37+PP37+EM37+BC37</f>
        <v>906594043.35000002</v>
      </c>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c r="CB46" s="221"/>
      <c r="CC46" s="221"/>
      <c r="CD46" s="221"/>
      <c r="CE46" s="221"/>
      <c r="CF46" s="221"/>
      <c r="CG46" s="221"/>
      <c r="CH46" s="221"/>
      <c r="CI46" s="221"/>
      <c r="CJ46" s="221"/>
      <c r="CK46" s="241"/>
      <c r="CL46" s="221"/>
      <c r="CM46" s="221"/>
      <c r="CN46" s="221"/>
      <c r="CO46" s="221"/>
      <c r="CP46" s="241"/>
      <c r="CQ46" s="221"/>
      <c r="CR46" s="221"/>
      <c r="CS46" s="221"/>
      <c r="CT46" s="221"/>
      <c r="CU46" s="241"/>
      <c r="CV46" s="221"/>
      <c r="CW46" s="221"/>
      <c r="CX46" s="221"/>
      <c r="CY46" s="221"/>
      <c r="CZ46" s="241"/>
      <c r="DA46" s="221"/>
      <c r="DB46" s="221"/>
      <c r="DC46" s="221"/>
      <c r="DD46" s="221"/>
      <c r="FE46" s="221"/>
      <c r="FF46" s="221"/>
      <c r="FG46" s="221"/>
      <c r="FH46" s="221"/>
      <c r="FI46" s="221"/>
      <c r="FJ46" s="221"/>
      <c r="FK46" s="221"/>
      <c r="FL46" s="221"/>
      <c r="FM46" s="221"/>
      <c r="FN46" s="221"/>
      <c r="GA46" s="221"/>
      <c r="GB46" s="221"/>
      <c r="GC46" s="221"/>
      <c r="GD46" s="221"/>
      <c r="GE46" s="221"/>
      <c r="GF46" s="221"/>
      <c r="GG46" s="221"/>
      <c r="GH46" s="221"/>
      <c r="GI46" s="221"/>
      <c r="GJ46" s="221"/>
      <c r="GK46" s="221"/>
      <c r="GL46" s="221"/>
      <c r="HE46" s="215"/>
      <c r="HF46" s="215"/>
      <c r="HG46" s="215"/>
      <c r="HH46" s="215"/>
      <c r="HI46" s="215"/>
      <c r="HJ46" s="215"/>
      <c r="HK46" s="215"/>
      <c r="HL46" s="215"/>
      <c r="HM46" s="215"/>
      <c r="HN46" s="215"/>
      <c r="HO46" s="215"/>
      <c r="HP46" s="215"/>
      <c r="HQ46" s="215"/>
      <c r="HR46" s="215"/>
      <c r="HS46" s="215"/>
      <c r="HT46" s="215"/>
      <c r="HU46" s="215"/>
      <c r="HV46" s="215"/>
      <c r="HW46" s="215"/>
      <c r="HX46" s="215"/>
      <c r="HY46" s="215"/>
      <c r="HZ46" s="215"/>
      <c r="IA46" s="215"/>
      <c r="IB46" s="215"/>
      <c r="IC46" s="215"/>
      <c r="ID46" s="215"/>
      <c r="IE46" s="215"/>
      <c r="IF46" s="215"/>
      <c r="IG46" s="215"/>
      <c r="IH46" s="215"/>
      <c r="II46" s="215"/>
      <c r="IJ46" s="215"/>
      <c r="IK46" s="215"/>
      <c r="IL46" s="215"/>
      <c r="IM46" s="215"/>
      <c r="IN46" s="215"/>
      <c r="IO46" s="241"/>
      <c r="IP46" s="1133"/>
      <c r="IQ46" s="1133"/>
      <c r="IR46" s="241"/>
      <c r="IS46" s="241"/>
      <c r="IT46" s="241"/>
      <c r="IU46" s="241"/>
      <c r="IV46" s="241"/>
      <c r="IW46" s="241"/>
      <c r="IX46" s="241"/>
      <c r="IY46" s="1133"/>
      <c r="IZ46" s="1133"/>
      <c r="JA46" s="241"/>
      <c r="JB46" s="241"/>
      <c r="JC46" s="241"/>
      <c r="JD46" s="241"/>
      <c r="JE46" s="241"/>
      <c r="JF46" s="241"/>
      <c r="JG46" s="241"/>
      <c r="JH46" s="1133"/>
      <c r="JI46" s="1133"/>
      <c r="JJ46" s="241"/>
      <c r="JK46" s="241"/>
      <c r="JL46" s="241"/>
      <c r="JM46" s="241"/>
      <c r="JN46" s="241"/>
      <c r="JO46" s="241"/>
      <c r="JP46" s="241"/>
      <c r="JQ46" s="1133"/>
      <c r="JR46" s="1133"/>
      <c r="JS46" s="241"/>
      <c r="JT46" s="241"/>
      <c r="JU46" s="241"/>
      <c r="JV46" s="241"/>
      <c r="JW46" s="241"/>
      <c r="JX46" s="241"/>
      <c r="JY46" s="241"/>
      <c r="JZ46" s="241"/>
      <c r="KA46" s="241"/>
      <c r="KB46" s="1177"/>
      <c r="KC46" s="1226"/>
      <c r="KD46" s="241"/>
      <c r="KE46" s="241"/>
      <c r="KF46" s="388"/>
      <c r="KG46" s="388"/>
      <c r="KH46" s="388"/>
      <c r="KI46" s="241"/>
      <c r="KJ46" s="241"/>
      <c r="KK46" s="1192"/>
      <c r="KL46" s="1276"/>
      <c r="KM46" s="221"/>
      <c r="KN46" s="221"/>
      <c r="KO46" s="241"/>
      <c r="KP46" s="241"/>
      <c r="KQ46" s="1192"/>
      <c r="KR46" s="1276"/>
      <c r="KS46" s="221"/>
      <c r="KT46" s="221"/>
      <c r="KU46" s="1117"/>
      <c r="KV46" s="1117"/>
      <c r="KW46" s="1117"/>
      <c r="KX46" s="1117"/>
      <c r="KY46" s="1117"/>
      <c r="KZ46" s="1117"/>
      <c r="LA46" s="1117"/>
      <c r="LB46" s="1117"/>
      <c r="LC46" s="1117"/>
      <c r="LD46" s="1117"/>
      <c r="LE46" s="1117"/>
      <c r="LF46" s="1117"/>
      <c r="MY46" s="221"/>
      <c r="MZ46" s="221"/>
      <c r="NA46" s="221"/>
      <c r="NB46" s="221"/>
      <c r="NC46" s="221"/>
      <c r="ND46" s="221"/>
      <c r="NE46" s="221"/>
      <c r="NF46" s="221"/>
      <c r="NG46" s="221"/>
      <c r="NH46" s="221"/>
      <c r="NI46" s="221"/>
      <c r="NJ46" s="221"/>
      <c r="NK46" s="221"/>
      <c r="NL46" s="221"/>
      <c r="NM46" s="221"/>
      <c r="NN46" s="221"/>
      <c r="NO46" s="221"/>
      <c r="NP46" s="221"/>
      <c r="NQ46" s="221"/>
      <c r="NR46" s="221"/>
      <c r="NS46" s="221"/>
      <c r="NT46" s="221"/>
      <c r="NU46" s="221"/>
      <c r="NV46" s="221"/>
      <c r="NW46" s="221"/>
      <c r="NX46" s="221"/>
      <c r="NY46" s="221"/>
      <c r="NZ46" s="221"/>
      <c r="OA46" s="221"/>
      <c r="OD46" s="221"/>
      <c r="OG46" s="221"/>
      <c r="OH46" s="221"/>
      <c r="OI46" s="221"/>
      <c r="OJ46" s="221"/>
      <c r="OK46" s="221"/>
      <c r="OL46" s="221"/>
      <c r="OM46" s="221"/>
      <c r="ON46" s="221"/>
      <c r="OO46" s="221"/>
      <c r="OP46" s="221"/>
      <c r="OQ46" s="221"/>
      <c r="OR46" s="221"/>
      <c r="OS46" s="221"/>
      <c r="OT46" s="221"/>
      <c r="OU46" s="221"/>
      <c r="OV46" s="221"/>
      <c r="OW46" s="221"/>
      <c r="OX46" s="221"/>
      <c r="OY46" s="221"/>
      <c r="OZ46" s="221"/>
      <c r="PA46" s="221"/>
      <c r="PB46" s="221"/>
      <c r="PC46" s="221"/>
      <c r="PD46" s="221"/>
      <c r="PE46" s="221"/>
      <c r="PF46" s="221"/>
      <c r="PG46" s="221"/>
      <c r="PH46" s="221"/>
      <c r="PI46" s="221"/>
      <c r="PJ46" s="221"/>
      <c r="PK46" s="221"/>
      <c r="PL46" s="221"/>
      <c r="PM46" s="221"/>
      <c r="PN46" s="221"/>
      <c r="PO46" s="221"/>
      <c r="PP46" s="221"/>
      <c r="PQ46" s="221"/>
      <c r="PR46" s="221"/>
      <c r="PS46" s="221"/>
      <c r="PT46" s="221"/>
      <c r="PU46" s="221"/>
      <c r="PV46" s="221"/>
      <c r="PW46" s="221"/>
      <c r="PX46" s="221"/>
      <c r="PY46" s="221"/>
      <c r="PZ46" s="221"/>
      <c r="QA46" s="221"/>
      <c r="QB46" s="221"/>
      <c r="QC46" s="221"/>
      <c r="QD46" s="221"/>
      <c r="QE46" s="221"/>
      <c r="QF46" s="221"/>
      <c r="QG46" s="221"/>
      <c r="QH46" s="221"/>
      <c r="QI46" s="221"/>
      <c r="QJ46" s="221"/>
      <c r="QK46" s="221"/>
      <c r="QL46" s="221"/>
      <c r="QM46" s="221"/>
      <c r="QN46" s="221"/>
      <c r="QO46" s="221"/>
      <c r="QP46" s="221"/>
      <c r="QQ46" s="221"/>
      <c r="QR46" s="221"/>
      <c r="QS46" s="221"/>
      <c r="QT46" s="221"/>
      <c r="QU46" s="221"/>
      <c r="QV46" s="221"/>
      <c r="QW46" s="221"/>
      <c r="QX46" s="221"/>
      <c r="QY46" s="221"/>
      <c r="QZ46" s="221"/>
      <c r="RA46" s="221"/>
      <c r="RB46" s="221"/>
      <c r="RC46" s="221"/>
      <c r="RD46" s="221"/>
      <c r="RE46" s="221"/>
      <c r="RF46" s="221"/>
      <c r="RG46" s="221"/>
      <c r="RH46" s="221"/>
      <c r="RI46" s="221"/>
      <c r="RJ46" s="221"/>
      <c r="RO46" s="215"/>
      <c r="RP46" s="215"/>
      <c r="RQ46" s="215"/>
      <c r="RR46" s="215" t="s">
        <v>137</v>
      </c>
      <c r="RS46" s="235">
        <f>RS34</f>
        <v>5017223511</v>
      </c>
      <c r="RT46" s="215"/>
      <c r="RU46" s="215"/>
      <c r="RV46" s="235">
        <f>RV34</f>
        <v>3748550260</v>
      </c>
      <c r="SW46" s="235">
        <f>SW34</f>
        <v>1152852491.05</v>
      </c>
      <c r="SX46" s="235">
        <f>SX34</f>
        <v>706919800.38999999</v>
      </c>
      <c r="SY46" s="235"/>
      <c r="SZ46" s="235"/>
      <c r="TA46" s="235"/>
      <c r="TB46" s="235"/>
      <c r="TC46" s="235"/>
      <c r="TD46" s="235"/>
      <c r="TE46" s="235"/>
      <c r="TF46" s="235"/>
      <c r="TG46" s="235"/>
      <c r="TH46" s="235"/>
      <c r="TI46" s="235"/>
      <c r="TJ46" s="235"/>
      <c r="TK46" s="235"/>
      <c r="TL46" s="235"/>
      <c r="TM46" s="235"/>
      <c r="TN46" s="235"/>
      <c r="TO46" s="235"/>
      <c r="TP46" s="235"/>
      <c r="TQ46" s="235"/>
      <c r="TR46" s="235"/>
      <c r="TS46" s="235"/>
      <c r="TT46" s="235"/>
      <c r="TU46" s="235"/>
      <c r="TV46" s="235"/>
      <c r="TW46" s="235"/>
      <c r="TX46" s="235"/>
      <c r="TY46" s="235"/>
      <c r="TZ46" s="235"/>
      <c r="UA46" s="235"/>
      <c r="UB46" s="235"/>
      <c r="UC46" s="235"/>
      <c r="UD46" s="235"/>
      <c r="UE46" s="235"/>
      <c r="UF46" s="235"/>
      <c r="UG46" s="235"/>
      <c r="UH46" s="235"/>
      <c r="UI46" s="235"/>
      <c r="UJ46" s="235"/>
      <c r="UK46" s="235"/>
      <c r="UL46" s="235"/>
      <c r="UM46" s="235"/>
      <c r="UN46" s="235"/>
      <c r="UO46" s="235"/>
      <c r="UP46" s="235"/>
      <c r="UQ46" s="235"/>
      <c r="UR46" s="235"/>
      <c r="US46" s="235"/>
      <c r="UT46" s="235"/>
      <c r="UU46" s="235"/>
      <c r="UV46" s="235"/>
      <c r="UW46" s="235"/>
      <c r="UX46" s="235"/>
      <c r="UY46" s="215"/>
      <c r="UZ46" s="215"/>
      <c r="VA46" s="215"/>
      <c r="VB46" s="215"/>
      <c r="VC46" s="215"/>
      <c r="VD46" s="215"/>
      <c r="VE46" s="215"/>
      <c r="VF46" s="215"/>
      <c r="VG46" s="215"/>
      <c r="VH46" s="215"/>
      <c r="VI46" s="215"/>
      <c r="VJ46" s="215"/>
      <c r="VK46" s="215"/>
      <c r="VL46" s="215"/>
      <c r="VM46" s="215"/>
      <c r="VN46" s="215"/>
      <c r="VO46" s="215"/>
      <c r="VP46" s="215"/>
      <c r="VQ46" s="215"/>
      <c r="VR46" s="215"/>
      <c r="VS46" s="215"/>
      <c r="VT46" s="215"/>
      <c r="VU46" s="215"/>
      <c r="VV46" s="215"/>
      <c r="VW46" s="215"/>
      <c r="VX46" s="215"/>
      <c r="VY46" s="215"/>
      <c r="VZ46" s="215"/>
      <c r="WA46" s="215"/>
      <c r="WB46" s="215"/>
      <c r="WC46" s="215"/>
      <c r="WD46" s="215"/>
      <c r="WE46" s="215"/>
      <c r="WF46" s="215"/>
      <c r="WG46" s="215"/>
      <c r="WH46" s="215"/>
    </row>
    <row r="47" spans="1:607" ht="18.75" customHeight="1" x14ac:dyDescent="0.25">
      <c r="A47" s="1012" t="s">
        <v>48</v>
      </c>
      <c r="B47" s="1016">
        <f>H37</f>
        <v>623675000</v>
      </c>
      <c r="C47" s="1016">
        <f>I37</f>
        <v>503870361.74999994</v>
      </c>
      <c r="D47" s="221">
        <f>L37+T37+AG37</f>
        <v>179690900</v>
      </c>
      <c r="E47" s="221">
        <f>M37+U37+AH37</f>
        <v>155949669.97</v>
      </c>
      <c r="V47" s="215"/>
      <c r="AA47" s="215"/>
      <c r="AC47" s="215"/>
      <c r="AD47" s="215"/>
      <c r="AE47" s="215"/>
      <c r="AF47" s="215"/>
      <c r="AG47" s="215"/>
      <c r="AH47" s="215"/>
      <c r="AI47" s="221">
        <f>'Проверочная  таблица'!NO37+OM37+DK37+DS37+DC37+'Проверочная  таблица'!RQ37+'Проверочная  таблица'!MO37+'Проверочная  таблица'!GS37+'Проверочная  таблица'!JG37+'Проверочная  таблица'!LE37+QQ37+EQ37+BU37</f>
        <v>507274288.89000005</v>
      </c>
      <c r="AJ47" s="221">
        <f>'Проверочная  таблица'!NR37+OP37+DL37+DT37+DD37+'Проверочная  таблица'!RR37+'Проверочная  таблица'!MT37+'Проверочная  таблица'!GV37+'Проверочная  таблица'!JP37+'Проверочная  таблица'!LF37+QZ37+ER37+CA37</f>
        <v>341811215.64000005</v>
      </c>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L47" s="221"/>
      <c r="CM47" s="221"/>
      <c r="CN47" s="221"/>
      <c r="CO47" s="221"/>
      <c r="CQ47" s="221"/>
      <c r="CR47" s="221"/>
      <c r="CS47" s="221"/>
      <c r="CT47" s="221"/>
      <c r="CV47" s="221"/>
      <c r="CW47" s="221"/>
      <c r="CX47" s="221"/>
      <c r="CY47" s="221"/>
      <c r="DA47" s="221"/>
      <c r="DB47" s="221"/>
      <c r="DC47" s="221"/>
      <c r="DD47" s="221"/>
      <c r="FE47" s="221"/>
      <c r="FF47" s="221"/>
      <c r="FG47" s="221"/>
      <c r="FH47" s="221"/>
      <c r="FI47" s="221"/>
      <c r="FJ47" s="221"/>
      <c r="FK47" s="221"/>
      <c r="FL47" s="221"/>
      <c r="FM47" s="221"/>
      <c r="FN47" s="221"/>
      <c r="GA47" s="221"/>
      <c r="GB47" s="221"/>
      <c r="GC47" s="221"/>
      <c r="GD47" s="221"/>
      <c r="GE47" s="221"/>
      <c r="GF47" s="221"/>
      <c r="GG47" s="221"/>
      <c r="GH47" s="221"/>
      <c r="GI47" s="221"/>
      <c r="GJ47" s="221"/>
      <c r="GK47" s="221"/>
      <c r="GL47" s="221"/>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15"/>
      <c r="ID47" s="215"/>
      <c r="IE47" s="215"/>
      <c r="IF47" s="215"/>
      <c r="IG47" s="215"/>
      <c r="IH47" s="215"/>
      <c r="II47" s="215"/>
      <c r="IJ47" s="215"/>
      <c r="IK47" s="215"/>
      <c r="IL47" s="215"/>
      <c r="IM47" s="215"/>
      <c r="IN47" s="215"/>
      <c r="IO47" s="252"/>
      <c r="IP47" s="252"/>
      <c r="IQ47" s="252"/>
      <c r="IR47" s="252"/>
      <c r="IS47" s="252"/>
      <c r="IT47" s="252"/>
      <c r="IU47" s="252"/>
      <c r="IV47" s="252"/>
      <c r="IW47" s="252"/>
      <c r="IX47" s="252"/>
      <c r="IY47" s="252"/>
      <c r="IZ47" s="252"/>
      <c r="JA47" s="252"/>
      <c r="JB47" s="252"/>
      <c r="JC47" s="252"/>
      <c r="JD47" s="252"/>
      <c r="JE47" s="252"/>
      <c r="JF47" s="252"/>
      <c r="JG47" s="252"/>
      <c r="JH47" s="252"/>
      <c r="JI47" s="252"/>
      <c r="JJ47" s="252"/>
      <c r="JK47" s="252"/>
      <c r="JL47" s="252"/>
      <c r="JM47" s="252"/>
      <c r="JN47" s="252"/>
      <c r="JO47" s="252"/>
      <c r="JP47" s="252"/>
      <c r="JQ47" s="252"/>
      <c r="JR47" s="252"/>
      <c r="JS47" s="252"/>
      <c r="JT47" s="252"/>
      <c r="JU47" s="252"/>
      <c r="JV47" s="252"/>
      <c r="JW47" s="252"/>
      <c r="JX47" s="252"/>
      <c r="JY47" s="265"/>
      <c r="JZ47" s="265"/>
      <c r="KA47" s="265"/>
      <c r="KB47" s="265"/>
      <c r="KC47" s="265"/>
      <c r="KD47" s="265"/>
      <c r="KI47" s="218"/>
      <c r="KJ47" s="238"/>
      <c r="KK47" s="238"/>
      <c r="KL47" s="238"/>
      <c r="KM47" s="221"/>
      <c r="KN47" s="221"/>
      <c r="KO47" s="238"/>
      <c r="KS47" s="221"/>
      <c r="KT47" s="221"/>
      <c r="MY47" s="221"/>
      <c r="MZ47" s="221"/>
      <c r="NA47" s="221"/>
      <c r="NB47" s="221"/>
      <c r="NC47" s="221"/>
      <c r="ND47" s="221"/>
      <c r="NE47" s="221"/>
      <c r="NF47" s="221"/>
      <c r="NG47" s="221"/>
      <c r="NH47" s="221"/>
      <c r="NI47" s="221"/>
      <c r="NJ47" s="221"/>
      <c r="NK47" s="221"/>
      <c r="NL47" s="221"/>
      <c r="NM47" s="221"/>
      <c r="NN47" s="221"/>
      <c r="NO47" s="221"/>
      <c r="NP47" s="221"/>
      <c r="NQ47" s="221"/>
      <c r="NR47" s="221"/>
      <c r="NS47" s="221"/>
      <c r="NT47" s="221"/>
      <c r="NU47" s="221"/>
      <c r="NV47" s="221"/>
      <c r="NW47" s="221"/>
      <c r="NX47" s="221"/>
      <c r="NY47" s="221"/>
      <c r="NZ47" s="221"/>
      <c r="OA47" s="221"/>
      <c r="OD47" s="221"/>
      <c r="OG47" s="221"/>
      <c r="OH47" s="221"/>
      <c r="OI47" s="221"/>
      <c r="OJ47" s="221"/>
      <c r="OK47" s="221"/>
      <c r="OL47" s="221"/>
      <c r="OM47" s="221"/>
      <c r="ON47" s="221"/>
      <c r="OO47" s="221"/>
      <c r="OP47" s="221"/>
      <c r="OQ47" s="221"/>
      <c r="OR47" s="221"/>
      <c r="OS47" s="221"/>
      <c r="OT47" s="221"/>
      <c r="OU47" s="221"/>
      <c r="OV47" s="221"/>
      <c r="OW47" s="221"/>
      <c r="OX47" s="221"/>
      <c r="OY47" s="221"/>
      <c r="OZ47" s="221"/>
      <c r="PA47" s="221"/>
      <c r="PB47" s="221"/>
      <c r="PC47" s="221"/>
      <c r="PD47" s="221"/>
      <c r="PE47" s="221"/>
      <c r="PF47" s="221"/>
      <c r="PG47" s="221"/>
      <c r="PH47" s="221"/>
      <c r="PI47" s="221"/>
      <c r="PJ47" s="221"/>
      <c r="PK47" s="221"/>
      <c r="PL47" s="221"/>
      <c r="PM47" s="221"/>
      <c r="PN47" s="221"/>
      <c r="PO47" s="221"/>
      <c r="PP47" s="221"/>
      <c r="PQ47" s="221"/>
      <c r="PR47" s="221"/>
      <c r="PS47" s="221"/>
      <c r="PT47" s="221"/>
      <c r="PU47" s="221"/>
      <c r="PV47" s="221"/>
      <c r="PW47" s="221"/>
      <c r="PX47" s="221"/>
      <c r="PY47" s="221"/>
      <c r="PZ47" s="221"/>
      <c r="QA47" s="221"/>
      <c r="QB47" s="221"/>
      <c r="QC47" s="221"/>
      <c r="QD47" s="221"/>
      <c r="QE47" s="221"/>
      <c r="QF47" s="221"/>
      <c r="QG47" s="221"/>
      <c r="QH47" s="221"/>
      <c r="QI47" s="221"/>
      <c r="QJ47" s="221"/>
      <c r="QK47" s="221"/>
      <c r="QL47" s="221"/>
      <c r="QM47" s="221"/>
      <c r="QN47" s="221"/>
      <c r="QO47" s="221"/>
      <c r="QP47" s="221"/>
      <c r="QQ47" s="221"/>
      <c r="QR47" s="221"/>
      <c r="QS47" s="221"/>
      <c r="QT47" s="221"/>
      <c r="QU47" s="221"/>
      <c r="QV47" s="221"/>
      <c r="QW47" s="221"/>
      <c r="QX47" s="221"/>
      <c r="QY47" s="221"/>
      <c r="QZ47" s="221"/>
      <c r="RA47" s="221"/>
      <c r="RB47" s="221"/>
      <c r="RC47" s="221"/>
      <c r="RD47" s="221"/>
      <c r="RE47" s="221"/>
      <c r="RF47" s="221"/>
      <c r="RG47" s="221"/>
      <c r="RH47" s="221"/>
      <c r="RI47" s="221"/>
      <c r="RJ47" s="221"/>
      <c r="RO47" s="215"/>
      <c r="RP47" s="215"/>
      <c r="RQ47" s="215"/>
      <c r="RR47" s="215" t="s">
        <v>136</v>
      </c>
      <c r="RS47" s="221">
        <f>RS30-RS48</f>
        <v>5626128020</v>
      </c>
      <c r="RT47" s="228"/>
      <c r="RU47" s="228"/>
      <c r="RV47" s="221">
        <f>RV30-RV48</f>
        <v>4458276660.5999994</v>
      </c>
      <c r="RW47" s="221">
        <f>'Проверочная  таблица'!SG37</f>
        <v>139200</v>
      </c>
      <c r="SW47" s="221">
        <f>SW30-SW48</f>
        <v>0</v>
      </c>
      <c r="SX47" s="221">
        <f>SX30-SX48</f>
        <v>0</v>
      </c>
      <c r="SY47" s="221"/>
      <c r="SZ47" s="221"/>
      <c r="TA47" s="221"/>
      <c r="TB47" s="221"/>
      <c r="TC47" s="221"/>
      <c r="TD47" s="221"/>
      <c r="TE47" s="221"/>
      <c r="TF47" s="221"/>
      <c r="TG47" s="221"/>
      <c r="TH47" s="221"/>
      <c r="TI47" s="221"/>
      <c r="TJ47" s="221"/>
      <c r="TK47" s="221"/>
      <c r="TL47" s="221"/>
      <c r="TM47" s="221"/>
      <c r="TN47" s="221"/>
      <c r="TO47" s="221"/>
      <c r="TP47" s="221"/>
      <c r="TQ47" s="221"/>
      <c r="TR47" s="221"/>
      <c r="TS47" s="221"/>
      <c r="TT47" s="221"/>
      <c r="TU47" s="221"/>
      <c r="TV47" s="221"/>
      <c r="TW47" s="221"/>
      <c r="TX47" s="221"/>
      <c r="TY47" s="221"/>
      <c r="TZ47" s="221"/>
      <c r="UA47" s="221"/>
      <c r="UB47" s="221"/>
      <c r="UC47" s="221"/>
      <c r="UD47" s="221"/>
      <c r="UE47" s="221"/>
      <c r="UF47" s="221"/>
      <c r="UG47" s="221"/>
      <c r="UH47" s="221"/>
      <c r="UI47" s="221"/>
      <c r="UJ47" s="221"/>
      <c r="UK47" s="221"/>
      <c r="UL47" s="221"/>
      <c r="UM47" s="221"/>
      <c r="UN47" s="221"/>
      <c r="UO47" s="221"/>
      <c r="UP47" s="221"/>
      <c r="UQ47" s="221"/>
      <c r="UR47" s="221"/>
      <c r="US47" s="221"/>
      <c r="UT47" s="221"/>
      <c r="UU47" s="221"/>
      <c r="UV47" s="221"/>
      <c r="UW47" s="221"/>
      <c r="UX47" s="221"/>
      <c r="UY47" s="215"/>
      <c r="UZ47" s="215"/>
      <c r="VA47" s="215"/>
      <c r="VB47" s="215"/>
      <c r="VC47" s="215"/>
      <c r="VD47" s="215"/>
      <c r="VE47" s="215"/>
      <c r="VF47" s="215"/>
      <c r="VG47" s="215"/>
      <c r="VH47" s="215"/>
      <c r="VI47" s="215"/>
      <c r="VJ47" s="215"/>
      <c r="VK47" s="215"/>
      <c r="VL47" s="215"/>
      <c r="VM47" s="215"/>
      <c r="VN47" s="215"/>
    </row>
    <row r="48" spans="1:607" ht="18.75" customHeight="1" x14ac:dyDescent="0.25">
      <c r="A48" s="1012" t="s">
        <v>49</v>
      </c>
      <c r="B48" s="1016">
        <f>B46-B47</f>
        <v>2117130652.8500004</v>
      </c>
      <c r="C48" s="1016">
        <f>C46-C47</f>
        <v>1411514134.01</v>
      </c>
      <c r="D48" s="221">
        <f>D46-D47</f>
        <v>864596200</v>
      </c>
      <c r="E48" s="221">
        <f>E46-E47</f>
        <v>674177655.86999989</v>
      </c>
      <c r="V48" s="215"/>
      <c r="AA48" s="215"/>
      <c r="AC48" s="215"/>
      <c r="AD48" s="215"/>
      <c r="AE48" s="215"/>
      <c r="AF48" s="215"/>
      <c r="AG48" s="215"/>
      <c r="AH48" s="215"/>
      <c r="AI48" s="221">
        <f>AI46-AI47</f>
        <v>951742763.96000028</v>
      </c>
      <c r="AJ48" s="221">
        <f>AJ46-AJ47</f>
        <v>564782827.71000004</v>
      </c>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L48" s="221"/>
      <c r="CM48" s="221"/>
      <c r="CN48" s="221"/>
      <c r="CO48" s="221"/>
      <c r="CQ48" s="221"/>
      <c r="CR48" s="221"/>
      <c r="CS48" s="221"/>
      <c r="CT48" s="221"/>
      <c r="CV48" s="221"/>
      <c r="CW48" s="221"/>
      <c r="CX48" s="221"/>
      <c r="CY48" s="221"/>
      <c r="DA48" s="221"/>
      <c r="DB48" s="221"/>
      <c r="DC48" s="221"/>
      <c r="DD48" s="221"/>
      <c r="FE48" s="221"/>
      <c r="FF48" s="221"/>
      <c r="FG48" s="221"/>
      <c r="FH48" s="221"/>
      <c r="FI48" s="221"/>
      <c r="FJ48" s="221"/>
      <c r="FK48" s="221"/>
      <c r="FL48" s="221"/>
      <c r="FM48" s="221"/>
      <c r="FN48" s="221"/>
      <c r="GA48" s="221"/>
      <c r="GB48" s="221"/>
      <c r="GC48" s="221"/>
      <c r="GD48" s="221"/>
      <c r="GE48" s="221"/>
      <c r="GF48" s="221"/>
      <c r="GG48" s="221"/>
      <c r="GH48" s="221"/>
      <c r="GI48" s="221"/>
      <c r="GJ48" s="221"/>
      <c r="GK48" s="221"/>
      <c r="GL48" s="221"/>
      <c r="HE48" s="215"/>
      <c r="HF48" s="215"/>
      <c r="HG48" s="215"/>
      <c r="HH48" s="215"/>
      <c r="HI48" s="215"/>
      <c r="HJ48" s="215"/>
      <c r="HK48" s="215"/>
      <c r="HL48" s="215"/>
      <c r="HM48" s="215"/>
      <c r="HN48" s="215"/>
      <c r="HO48" s="215"/>
      <c r="HP48" s="215"/>
      <c r="HQ48" s="215"/>
      <c r="HR48" s="215"/>
      <c r="HS48" s="215"/>
      <c r="HT48" s="215"/>
      <c r="HU48" s="215"/>
      <c r="HV48" s="215"/>
      <c r="HW48" s="215"/>
      <c r="HX48" s="215"/>
      <c r="HY48" s="215"/>
      <c r="HZ48" s="215"/>
      <c r="IA48" s="215"/>
      <c r="IB48" s="215"/>
      <c r="IC48" s="215"/>
      <c r="ID48" s="215"/>
      <c r="IE48" s="215"/>
      <c r="IF48" s="215"/>
      <c r="IG48" s="215"/>
      <c r="IH48" s="215"/>
      <c r="II48" s="215"/>
      <c r="IJ48" s="215"/>
      <c r="IK48" s="215"/>
      <c r="IL48" s="215"/>
      <c r="IM48" s="215"/>
      <c r="IN48" s="215"/>
      <c r="IO48" s="252"/>
      <c r="IP48" s="252"/>
      <c r="IQ48" s="252"/>
      <c r="IR48" s="252"/>
      <c r="IS48" s="252"/>
      <c r="IT48" s="252"/>
      <c r="IU48" s="252"/>
      <c r="IV48" s="252"/>
      <c r="IW48" s="252"/>
      <c r="IX48" s="252"/>
      <c r="IY48" s="252"/>
      <c r="IZ48" s="252"/>
      <c r="JA48" s="252"/>
      <c r="JB48" s="252"/>
      <c r="JC48" s="252"/>
      <c r="JD48" s="252"/>
      <c r="JE48" s="252"/>
      <c r="JF48" s="252"/>
      <c r="JG48" s="252"/>
      <c r="JH48" s="252"/>
      <c r="JI48" s="252"/>
      <c r="JJ48" s="252"/>
      <c r="JK48" s="252"/>
      <c r="JL48" s="252"/>
      <c r="JM48" s="252"/>
      <c r="JN48" s="252"/>
      <c r="JO48" s="252"/>
      <c r="JP48" s="252"/>
      <c r="JQ48" s="252"/>
      <c r="JR48" s="252"/>
      <c r="JS48" s="252"/>
      <c r="JT48" s="252"/>
      <c r="JU48" s="252"/>
      <c r="JV48" s="252"/>
      <c r="JW48" s="252"/>
      <c r="JX48" s="252"/>
      <c r="JY48" s="265"/>
      <c r="JZ48" s="265"/>
      <c r="KA48" s="265"/>
      <c r="KB48" s="265"/>
      <c r="KC48" s="265"/>
      <c r="KD48" s="265"/>
      <c r="KI48" s="237"/>
      <c r="KJ48" s="238"/>
      <c r="KK48" s="238"/>
      <c r="KL48" s="238"/>
      <c r="KM48" s="221"/>
      <c r="KN48" s="221"/>
      <c r="KO48" s="238"/>
      <c r="KS48" s="221"/>
      <c r="KT48" s="221"/>
      <c r="MY48" s="221"/>
      <c r="MZ48" s="221"/>
      <c r="NA48" s="221"/>
      <c r="NB48" s="221"/>
      <c r="NC48" s="221"/>
      <c r="ND48" s="221"/>
      <c r="NE48" s="221"/>
      <c r="NF48" s="221"/>
      <c r="NG48" s="221"/>
      <c r="NH48" s="221"/>
      <c r="NI48" s="221"/>
      <c r="NJ48" s="221"/>
      <c r="NK48" s="221"/>
      <c r="NL48" s="221"/>
      <c r="NM48" s="221"/>
      <c r="NN48" s="221"/>
      <c r="NO48" s="221"/>
      <c r="NP48" s="221"/>
      <c r="NQ48" s="221"/>
      <c r="NR48" s="221"/>
      <c r="NS48" s="221"/>
      <c r="NT48" s="221"/>
      <c r="NU48" s="221"/>
      <c r="NV48" s="221"/>
      <c r="NW48" s="221"/>
      <c r="NX48" s="221"/>
      <c r="NY48" s="221"/>
      <c r="NZ48" s="221"/>
      <c r="OA48" s="221"/>
      <c r="OD48" s="221"/>
      <c r="OG48" s="221"/>
      <c r="OH48" s="221"/>
      <c r="OI48" s="221"/>
      <c r="OJ48" s="221"/>
      <c r="OK48" s="221"/>
      <c r="OL48" s="221"/>
      <c r="OM48" s="221"/>
      <c r="ON48" s="221"/>
      <c r="OO48" s="221"/>
      <c r="OP48" s="221"/>
      <c r="OQ48" s="221"/>
      <c r="OR48" s="221"/>
      <c r="OS48" s="221"/>
      <c r="OT48" s="221"/>
      <c r="OU48" s="221"/>
      <c r="OV48" s="221"/>
      <c r="OW48" s="221"/>
      <c r="OX48" s="221"/>
      <c r="OY48" s="221"/>
      <c r="OZ48" s="221"/>
      <c r="PA48" s="221"/>
      <c r="PB48" s="221"/>
      <c r="PC48" s="221"/>
      <c r="PD48" s="221"/>
      <c r="PE48" s="221"/>
      <c r="PF48" s="221"/>
      <c r="PG48" s="221"/>
      <c r="PH48" s="221"/>
      <c r="PI48" s="221"/>
      <c r="PJ48" s="221"/>
      <c r="PK48" s="221"/>
      <c r="PL48" s="221"/>
      <c r="PM48" s="221"/>
      <c r="PN48" s="221"/>
      <c r="PO48" s="221"/>
      <c r="PP48" s="221"/>
      <c r="PQ48" s="221"/>
      <c r="PR48" s="221"/>
      <c r="PS48" s="221"/>
      <c r="PT48" s="221"/>
      <c r="PU48" s="221"/>
      <c r="PV48" s="221"/>
      <c r="PW48" s="221"/>
      <c r="PX48" s="221"/>
      <c r="PY48" s="221"/>
      <c r="PZ48" s="221"/>
      <c r="QA48" s="221"/>
      <c r="QB48" s="221"/>
      <c r="QC48" s="221"/>
      <c r="QD48" s="221"/>
      <c r="QE48" s="221"/>
      <c r="QF48" s="221"/>
      <c r="QG48" s="221"/>
      <c r="QH48" s="221"/>
      <c r="QI48" s="221"/>
      <c r="QJ48" s="221"/>
      <c r="QK48" s="221"/>
      <c r="QL48" s="221"/>
      <c r="QM48" s="221"/>
      <c r="QN48" s="221"/>
      <c r="QO48" s="221"/>
      <c r="QP48" s="221"/>
      <c r="QQ48" s="221"/>
      <c r="QR48" s="221"/>
      <c r="QS48" s="221"/>
      <c r="QT48" s="221"/>
      <c r="QU48" s="221"/>
      <c r="QV48" s="221"/>
      <c r="QW48" s="221"/>
      <c r="QX48" s="221"/>
      <c r="QY48" s="221"/>
      <c r="QZ48" s="221"/>
      <c r="RA48" s="221"/>
      <c r="RB48" s="221"/>
      <c r="RC48" s="221"/>
      <c r="RD48" s="221"/>
      <c r="RE48" s="221"/>
      <c r="RF48" s="221"/>
      <c r="RG48" s="221"/>
      <c r="RH48" s="221"/>
      <c r="RI48" s="221"/>
      <c r="RJ48" s="221"/>
      <c r="RO48" s="215"/>
      <c r="RP48" s="215"/>
      <c r="RQ48" s="215"/>
      <c r="RR48" s="215" t="s">
        <v>108</v>
      </c>
      <c r="RS48" s="221">
        <f>'Проверочная  таблица'!SE30</f>
        <v>27501500</v>
      </c>
      <c r="RT48" s="228"/>
      <c r="RU48" s="228"/>
      <c r="RV48" s="221">
        <f>'Проверочная  таблица'!SF30</f>
        <v>17901519.810000002</v>
      </c>
      <c r="RW48" s="221">
        <f>RW46-RW47</f>
        <v>-139200</v>
      </c>
      <c r="SW48" s="221">
        <f>'Проверочная  таблица'!TU37+'Проверочная  таблица'!VC37+UI37</f>
        <v>210000000</v>
      </c>
      <c r="SX48" s="221">
        <f>'Проверочная  таблица'!TW37+'Проверочная  таблица'!VE37+UL37</f>
        <v>160761606.75999999</v>
      </c>
      <c r="SY48" s="221"/>
      <c r="SZ48" s="221"/>
      <c r="TA48" s="221"/>
      <c r="TB48" s="221"/>
      <c r="TC48" s="221"/>
      <c r="TD48" s="221"/>
      <c r="TE48" s="221"/>
      <c r="TF48" s="221"/>
      <c r="TG48" s="221"/>
      <c r="TH48" s="221"/>
      <c r="TI48" s="221"/>
      <c r="TJ48" s="221"/>
      <c r="TK48" s="221"/>
      <c r="TL48" s="221"/>
      <c r="TM48" s="221"/>
      <c r="TN48" s="221"/>
      <c r="TO48" s="221"/>
      <c r="TP48" s="221"/>
      <c r="TQ48" s="221"/>
      <c r="TR48" s="221"/>
      <c r="TS48" s="221"/>
      <c r="TT48" s="221"/>
      <c r="TU48" s="221"/>
      <c r="TV48" s="221"/>
      <c r="TW48" s="221"/>
      <c r="TX48" s="221"/>
      <c r="TY48" s="221"/>
      <c r="TZ48" s="221"/>
      <c r="UA48" s="221"/>
      <c r="UB48" s="221"/>
      <c r="UC48" s="221"/>
      <c r="UD48" s="221"/>
      <c r="UE48" s="221"/>
      <c r="UF48" s="221"/>
      <c r="UG48" s="221"/>
      <c r="UH48" s="221"/>
      <c r="UI48" s="221"/>
      <c r="UJ48" s="221"/>
      <c r="UK48" s="221"/>
      <c r="UL48" s="221"/>
      <c r="UM48" s="221"/>
      <c r="UN48" s="221"/>
      <c r="UO48" s="221"/>
      <c r="UP48" s="221"/>
      <c r="UQ48" s="221"/>
      <c r="UR48" s="221"/>
      <c r="US48" s="221"/>
      <c r="UT48" s="221"/>
      <c r="UU48" s="221"/>
      <c r="UV48" s="221"/>
      <c r="UW48" s="221"/>
      <c r="UX48" s="221"/>
      <c r="UY48" s="215"/>
      <c r="UZ48" s="215"/>
      <c r="VA48" s="215"/>
      <c r="VB48" s="215"/>
      <c r="VC48" s="215"/>
      <c r="VD48" s="215"/>
      <c r="VE48" s="215"/>
      <c r="VF48" s="215"/>
      <c r="VG48" s="215"/>
      <c r="VH48" s="215"/>
      <c r="VI48" s="215"/>
      <c r="VJ48" s="215"/>
      <c r="VK48" s="215"/>
      <c r="VL48" s="215"/>
      <c r="VM48" s="215"/>
      <c r="VN48" s="215"/>
    </row>
    <row r="49" spans="1:606" s="215" customFormat="1" ht="18.75" customHeight="1" x14ac:dyDescent="0.25">
      <c r="A49" s="1012" t="s">
        <v>179</v>
      </c>
      <c r="B49" s="1017">
        <f>B37-B45-B46-B44</f>
        <v>0</v>
      </c>
      <c r="C49" s="1017">
        <f>C37-C45-C46-C44</f>
        <v>0</v>
      </c>
      <c r="D49" s="235">
        <f>D37-D45-D46-D44</f>
        <v>0</v>
      </c>
      <c r="E49" s="235">
        <f>E37-E45-E46-E44</f>
        <v>0</v>
      </c>
      <c r="AI49" s="235">
        <f>AI37-AI45-AI46-AI44</f>
        <v>0</v>
      </c>
      <c r="AJ49" s="235">
        <f>AJ37-AJ45-AJ46-AJ44</f>
        <v>0</v>
      </c>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c r="CL49" s="235"/>
      <c r="CM49" s="235"/>
      <c r="CN49" s="235"/>
      <c r="CO49" s="235"/>
      <c r="CP49"/>
      <c r="CQ49" s="235"/>
      <c r="CR49" s="235"/>
      <c r="CS49" s="235"/>
      <c r="CT49" s="235"/>
      <c r="CU49"/>
      <c r="CV49" s="235"/>
      <c r="CW49" s="235"/>
      <c r="CX49" s="235"/>
      <c r="CY49" s="235"/>
      <c r="CZ49"/>
      <c r="DA49" s="235"/>
      <c r="DB49" s="235"/>
      <c r="DC49" s="235"/>
      <c r="DD49" s="235"/>
      <c r="EK49" s="1190"/>
      <c r="EL49" s="1190"/>
      <c r="EM49" s="1190"/>
      <c r="EN49" s="1190"/>
      <c r="EO49" s="1190"/>
      <c r="EP49" s="1190"/>
      <c r="EQ49" s="1190"/>
      <c r="ER49" s="1190"/>
      <c r="EY49" s="1190"/>
      <c r="EZ49" s="1190"/>
      <c r="FA49" s="1190"/>
      <c r="FB49" s="1190"/>
      <c r="FC49" s="1190"/>
      <c r="FD49" s="1190"/>
      <c r="FE49" s="235"/>
      <c r="FF49" s="235"/>
      <c r="FG49" s="235"/>
      <c r="FH49" s="235"/>
      <c r="FI49" s="235"/>
      <c r="FJ49" s="235"/>
      <c r="FK49" s="235"/>
      <c r="FL49" s="235"/>
      <c r="FM49" s="235"/>
      <c r="FN49" s="235"/>
      <c r="GA49" s="235"/>
      <c r="GB49" s="235"/>
      <c r="GC49" s="235"/>
      <c r="GD49" s="235"/>
      <c r="GE49" s="235"/>
      <c r="GF49" s="235"/>
      <c r="GG49" s="235"/>
      <c r="GH49" s="235"/>
      <c r="GI49" s="235"/>
      <c r="GJ49" s="235"/>
      <c r="GK49" s="235"/>
      <c r="GL49" s="235"/>
      <c r="GY49" s="1190"/>
      <c r="GZ49" s="1190"/>
      <c r="HA49" s="1190"/>
      <c r="HB49" s="1190"/>
      <c r="HC49" s="1190"/>
      <c r="HD49" s="1190"/>
      <c r="IO49" s="242"/>
      <c r="IP49" s="242"/>
      <c r="IQ49" s="242"/>
      <c r="IR49" s="242"/>
      <c r="IS49" s="242"/>
      <c r="IT49" s="242"/>
      <c r="IU49" s="242"/>
      <c r="IV49" s="242"/>
      <c r="IW49" s="242"/>
      <c r="IX49" s="242"/>
      <c r="IY49" s="242"/>
      <c r="IZ49" s="242"/>
      <c r="JA49" s="242"/>
      <c r="JB49" s="242"/>
      <c r="JC49" s="242"/>
      <c r="JD49" s="242"/>
      <c r="JE49" s="242"/>
      <c r="JF49" s="242"/>
      <c r="JG49" s="242"/>
      <c r="JH49" s="242"/>
      <c r="JI49" s="242"/>
      <c r="JJ49" s="242"/>
      <c r="JK49" s="242"/>
      <c r="JL49" s="242"/>
      <c r="JM49" s="242"/>
      <c r="JN49" s="242"/>
      <c r="JO49" s="242"/>
      <c r="JP49" s="242"/>
      <c r="JQ49" s="242"/>
      <c r="JR49" s="242"/>
      <c r="JS49" s="242"/>
      <c r="JT49" s="242"/>
      <c r="JU49" s="242"/>
      <c r="JV49" s="242"/>
      <c r="JW49" s="242"/>
      <c r="JX49" s="242"/>
      <c r="JY49" s="265"/>
      <c r="JZ49" s="265"/>
      <c r="KA49" s="265"/>
      <c r="KB49" s="265"/>
      <c r="KC49" s="265"/>
      <c r="KD49" s="265"/>
      <c r="KE49" s="265"/>
      <c r="KF49"/>
      <c r="KG49"/>
      <c r="KH49"/>
      <c r="KI49"/>
      <c r="KJ49"/>
      <c r="KK49"/>
      <c r="KL49"/>
      <c r="KM49" s="235"/>
      <c r="KN49" s="235"/>
      <c r="KO49"/>
      <c r="KP49"/>
      <c r="KQ49"/>
      <c r="KR49"/>
      <c r="KS49" s="235"/>
      <c r="KT49" s="235"/>
      <c r="KU49"/>
      <c r="KV49"/>
      <c r="KW49"/>
      <c r="KX49"/>
      <c r="KY49"/>
      <c r="KZ49"/>
      <c r="LA49"/>
      <c r="LB49"/>
      <c r="LC49"/>
      <c r="LD49"/>
      <c r="LE49"/>
      <c r="LF49"/>
      <c r="LJ49" s="1190"/>
      <c r="LL49" s="1190"/>
      <c r="LM49" s="1190"/>
      <c r="LQ49" s="1190"/>
      <c r="LS49" s="1190"/>
      <c r="LT49" s="1190"/>
      <c r="LX49" s="1190"/>
      <c r="MC49" s="1190"/>
      <c r="MY49" s="235"/>
      <c r="MZ49" s="235"/>
      <c r="NA49" s="235"/>
      <c r="NB49" s="235"/>
      <c r="NC49" s="235"/>
      <c r="ND49" s="235"/>
      <c r="NE49" s="235"/>
      <c r="NF49" s="235"/>
      <c r="NG49" s="235"/>
      <c r="NH49" s="235"/>
      <c r="NI49" s="235"/>
      <c r="NJ49" s="235"/>
      <c r="NK49" s="235"/>
      <c r="NL49" s="235"/>
      <c r="NM49" s="235"/>
      <c r="NN49" s="235"/>
      <c r="NO49" s="235"/>
      <c r="NP49" s="235"/>
      <c r="NQ49" s="235"/>
      <c r="NR49" s="235"/>
      <c r="NS49" s="235"/>
      <c r="NT49" s="235"/>
      <c r="NU49" s="235"/>
      <c r="NV49" s="235"/>
      <c r="NW49" s="235"/>
      <c r="NX49" s="235"/>
      <c r="NY49" s="235"/>
      <c r="NZ49" s="235"/>
      <c r="OA49" s="235"/>
      <c r="OD49" s="235"/>
      <c r="OG49" s="235"/>
      <c r="OH49" s="235"/>
      <c r="OI49" s="235"/>
      <c r="OJ49" s="235"/>
      <c r="OK49" s="235"/>
      <c r="OL49" s="235"/>
      <c r="OM49" s="235"/>
      <c r="ON49" s="235"/>
      <c r="OO49" s="235"/>
      <c r="OP49" s="235"/>
      <c r="OQ49" s="235"/>
      <c r="OR49" s="235"/>
      <c r="OS49" s="235"/>
      <c r="OT49" s="235"/>
      <c r="OU49" s="235"/>
      <c r="OV49" s="235"/>
      <c r="OW49" s="235"/>
      <c r="OX49" s="235"/>
      <c r="OY49" s="235"/>
      <c r="OZ49" s="235"/>
      <c r="PA49" s="235"/>
      <c r="PB49" s="235"/>
      <c r="PC49" s="235"/>
      <c r="PD49" s="235"/>
      <c r="PE49" s="235"/>
      <c r="PF49" s="235"/>
      <c r="PG49" s="235"/>
      <c r="PH49" s="235"/>
      <c r="PI49" s="235"/>
      <c r="PJ49" s="235"/>
      <c r="PK49" s="235"/>
      <c r="PL49" s="235"/>
      <c r="PM49" s="235"/>
      <c r="PN49" s="235"/>
      <c r="PO49" s="235"/>
      <c r="PP49" s="235"/>
      <c r="PQ49" s="235"/>
      <c r="PR49" s="235"/>
      <c r="PS49" s="235"/>
      <c r="PT49" s="235"/>
      <c r="PU49" s="235"/>
      <c r="PV49" s="235"/>
      <c r="PW49" s="235"/>
      <c r="PX49" s="235"/>
      <c r="PY49" s="235"/>
      <c r="PZ49" s="235"/>
      <c r="QA49" s="235"/>
      <c r="QB49" s="235"/>
      <c r="QC49" s="235"/>
      <c r="QD49" s="235"/>
      <c r="QE49" s="235"/>
      <c r="QF49" s="235"/>
      <c r="QG49" s="235"/>
      <c r="QH49" s="235"/>
      <c r="QI49" s="235"/>
      <c r="QJ49" s="235"/>
      <c r="QK49" s="235"/>
      <c r="QL49" s="235"/>
      <c r="QM49" s="235"/>
      <c r="QN49" s="235"/>
      <c r="QO49" s="235"/>
      <c r="QP49" s="235"/>
      <c r="QQ49" s="235"/>
      <c r="QR49" s="235"/>
      <c r="QS49" s="235"/>
      <c r="QT49" s="235"/>
      <c r="QU49" s="235"/>
      <c r="QV49" s="235"/>
      <c r="QW49" s="235"/>
      <c r="QX49" s="235"/>
      <c r="QY49" s="235"/>
      <c r="QZ49" s="235"/>
      <c r="RA49" s="235"/>
      <c r="RB49" s="235"/>
      <c r="RC49" s="235"/>
      <c r="RD49" s="235"/>
      <c r="RE49" s="235"/>
      <c r="RF49" s="235"/>
      <c r="RG49" s="235"/>
      <c r="RH49" s="235"/>
      <c r="RI49" s="235"/>
      <c r="RJ49" s="235"/>
      <c r="RR49" s="215" t="s">
        <v>48</v>
      </c>
      <c r="RS49" s="221"/>
      <c r="RT49" s="221">
        <f>'Проверочная  таблица'!ST37</f>
        <v>76469026.069999993</v>
      </c>
      <c r="RU49" s="228"/>
      <c r="RV49" s="221"/>
      <c r="SW49" s="221">
        <f>'Проверочная  таблица'!UQ37+'Проверочная  таблица'!VK37</f>
        <v>20000000</v>
      </c>
      <c r="SX49" s="221">
        <f>'Проверочная  таблица'!UR37+'Проверочная  таблица'!VM37</f>
        <v>20000000</v>
      </c>
      <c r="SY49" s="221"/>
      <c r="SZ49" s="221"/>
      <c r="TA49" s="221"/>
      <c r="TB49" s="221"/>
      <c r="TC49" s="221"/>
      <c r="TD49" s="221"/>
      <c r="TE49" s="221"/>
      <c r="TF49" s="221"/>
      <c r="TG49" s="221"/>
      <c r="TH49" s="221"/>
      <c r="TI49" s="221"/>
      <c r="TJ49" s="221"/>
      <c r="TK49" s="221"/>
      <c r="TL49" s="221"/>
      <c r="TM49" s="221"/>
      <c r="TN49" s="221"/>
      <c r="TO49" s="221"/>
      <c r="TP49" s="221"/>
      <c r="TQ49" s="221"/>
      <c r="TR49" s="221"/>
      <c r="TS49" s="221"/>
      <c r="TT49" s="221"/>
      <c r="TU49" s="221"/>
      <c r="TV49" s="221"/>
      <c r="TW49" s="221"/>
      <c r="TX49" s="221"/>
      <c r="TY49" s="221"/>
      <c r="TZ49" s="221"/>
      <c r="UA49" s="221"/>
      <c r="UB49" s="221"/>
      <c r="UC49" s="221"/>
      <c r="UD49" s="221"/>
      <c r="UE49" s="221"/>
      <c r="UF49" s="221"/>
      <c r="UG49" s="221"/>
      <c r="UH49" s="221"/>
      <c r="UI49" s="221"/>
      <c r="UJ49" s="221"/>
      <c r="UK49" s="221"/>
      <c r="UL49" s="221"/>
      <c r="UM49" s="221"/>
      <c r="UN49" s="221"/>
      <c r="UO49" s="221"/>
      <c r="UP49" s="221"/>
      <c r="UQ49" s="221"/>
      <c r="UR49" s="221"/>
      <c r="US49" s="221"/>
      <c r="UT49" s="221"/>
      <c r="UU49" s="221"/>
      <c r="UV49" s="221"/>
      <c r="UW49" s="221"/>
      <c r="UX49" s="221"/>
      <c r="VO49" s="218"/>
      <c r="VP49" s="218"/>
      <c r="VQ49" s="218"/>
      <c r="VR49" s="218"/>
      <c r="VS49" s="218"/>
      <c r="VT49" s="218"/>
      <c r="VU49" s="218"/>
      <c r="VV49" s="218"/>
      <c r="VW49" s="218"/>
      <c r="VX49" s="218"/>
      <c r="VY49" s="218"/>
      <c r="VZ49" s="218"/>
      <c r="WA49" s="218"/>
      <c r="WB49" s="218"/>
      <c r="WC49" s="218"/>
      <c r="WD49" s="218"/>
      <c r="WE49" s="218"/>
      <c r="WF49" s="218"/>
      <c r="WG49" s="218"/>
      <c r="WH49" s="218"/>
    </row>
    <row r="50" spans="1:606" s="215" customFormat="1" ht="18.75" customHeight="1" x14ac:dyDescent="0.25">
      <c r="B50" s="235"/>
      <c r="C50" s="235"/>
      <c r="D50" s="235"/>
      <c r="E50" s="235"/>
      <c r="AI50" s="721">
        <f>'Проверочная  таблица'!NO37+OM37+DC37+DK37+DS37+'Проверочная  таблица'!JG37+'Проверочная  таблица'!MO37+'Проверочная  таблица'!GS37+'Проверочная  таблица'!RQ37+'Проверочная  таблица'!LE37+EQ37+BU37</f>
        <v>507274288.89000005</v>
      </c>
      <c r="AJ50" s="721">
        <f>'Проверочная  таблица'!NR37+OP37+DD37+DL37+DT37+'Проверочная  таблица'!JP37+'Проверочная  таблица'!MT37+'Проверочная  таблица'!GV37+'Проверочная  таблица'!RR37+'Проверочная  таблица'!LF37+ER37+CA37</f>
        <v>341811215.64000005</v>
      </c>
      <c r="AK50" s="1284"/>
      <c r="AL50" s="235"/>
      <c r="AM50" s="235"/>
      <c r="AN50" s="235"/>
      <c r="AO50" s="235"/>
      <c r="AP50" s="235"/>
      <c r="AQ50" s="1284"/>
      <c r="AR50" s="235"/>
      <c r="AS50" s="235"/>
      <c r="AT50" s="235"/>
      <c r="AU50" s="235"/>
      <c r="AV50" s="235"/>
      <c r="AW50" s="1284"/>
      <c r="AX50" s="235"/>
      <c r="AY50" s="235"/>
      <c r="AZ50" s="235"/>
      <c r="BA50" s="235"/>
      <c r="BB50" s="235"/>
      <c r="BC50" s="1284"/>
      <c r="BD50" s="235"/>
      <c r="BE50" s="235"/>
      <c r="BF50" s="235"/>
      <c r="BG50" s="235"/>
      <c r="BH50" s="235"/>
      <c r="BI50" s="1284"/>
      <c r="BJ50" s="1284"/>
      <c r="BK50" s="1284"/>
      <c r="BL50" s="1284"/>
      <c r="BM50" s="1284"/>
      <c r="BN50" s="1284"/>
      <c r="BO50" s="1284"/>
      <c r="BP50" s="1284"/>
      <c r="BQ50" s="1284"/>
      <c r="BR50" s="1284"/>
      <c r="BS50" s="1284"/>
      <c r="BT50" s="1284"/>
      <c r="BU50" s="1284"/>
      <c r="BV50" s="1284"/>
      <c r="BW50" s="1284"/>
      <c r="BX50" s="1284"/>
      <c r="BY50" s="1284"/>
      <c r="BZ50" s="1284"/>
      <c r="CA50" s="1284"/>
      <c r="CB50" s="1284"/>
      <c r="CC50" s="1284"/>
      <c r="CD50" s="1284"/>
      <c r="CE50" s="1284"/>
      <c r="CF50" s="1284"/>
      <c r="CG50" s="235"/>
      <c r="CH50" s="235"/>
      <c r="CI50" s="235"/>
      <c r="CJ50" s="235"/>
      <c r="CL50" s="235"/>
      <c r="CM50" s="235"/>
      <c r="CN50" s="235"/>
      <c r="CO50" s="235"/>
      <c r="CQ50" s="235"/>
      <c r="CR50" s="235"/>
      <c r="CS50" s="235"/>
      <c r="CT50" s="235"/>
      <c r="CV50" s="235"/>
      <c r="CW50" s="235"/>
      <c r="CX50" s="235"/>
      <c r="CY50" s="235"/>
      <c r="DA50" s="235"/>
      <c r="DB50" s="235"/>
      <c r="DC50" s="235"/>
      <c r="DD50" s="235"/>
      <c r="EK50" s="1190"/>
      <c r="EL50" s="1190"/>
      <c r="EM50" s="1190"/>
      <c r="EN50" s="1190"/>
      <c r="EO50" s="1190"/>
      <c r="EP50" s="1190"/>
      <c r="EQ50" s="1190"/>
      <c r="ER50" s="1190"/>
      <c r="EY50" s="1190"/>
      <c r="EZ50" s="1190"/>
      <c r="FA50" s="1190"/>
      <c r="FB50" s="1190"/>
      <c r="FC50" s="1190"/>
      <c r="FD50" s="1190"/>
      <c r="FE50" s="235"/>
      <c r="FF50" s="235"/>
      <c r="FG50" s="235"/>
      <c r="FH50" s="235"/>
      <c r="FI50" s="235"/>
      <c r="FJ50" s="235"/>
      <c r="FK50" s="235"/>
      <c r="FL50" s="235"/>
      <c r="FM50" s="235"/>
      <c r="FN50" s="235"/>
      <c r="GA50" s="235"/>
      <c r="GB50" s="235"/>
      <c r="GC50" s="235"/>
      <c r="GD50" s="235"/>
      <c r="GE50" s="235"/>
      <c r="GF50" s="235"/>
      <c r="GG50" s="235"/>
      <c r="GH50" s="235"/>
      <c r="GI50" s="235"/>
      <c r="GJ50" s="235"/>
      <c r="GK50" s="235"/>
      <c r="GL50" s="235"/>
      <c r="GY50" s="1190"/>
      <c r="GZ50" s="1190"/>
      <c r="HA50" s="1190"/>
      <c r="HB50" s="1190"/>
      <c r="HC50" s="1190"/>
      <c r="HD50" s="1190"/>
      <c r="IO50" s="242"/>
      <c r="IP50" s="242"/>
      <c r="IQ50" s="242"/>
      <c r="IR50" s="242"/>
      <c r="IS50" s="242"/>
      <c r="IT50" s="242"/>
      <c r="IU50" s="242"/>
      <c r="IV50" s="242"/>
      <c r="IW50" s="242"/>
      <c r="IX50" s="242"/>
      <c r="IY50" s="242"/>
      <c r="IZ50" s="242"/>
      <c r="JA50" s="242"/>
      <c r="JB50" s="242"/>
      <c r="JC50" s="242"/>
      <c r="JD50" s="242"/>
      <c r="JE50" s="242"/>
      <c r="JF50" s="242"/>
      <c r="JG50" s="242"/>
      <c r="JH50" s="242"/>
      <c r="JI50" s="242"/>
      <c r="JJ50" s="242"/>
      <c r="JK50" s="242"/>
      <c r="JL50" s="242"/>
      <c r="JM50" s="242"/>
      <c r="JN50" s="242"/>
      <c r="JO50" s="242"/>
      <c r="JP50" s="242"/>
      <c r="JQ50" s="242"/>
      <c r="JR50" s="242"/>
      <c r="JS50" s="242"/>
      <c r="JT50" s="242"/>
      <c r="JU50" s="242"/>
      <c r="JV50" s="242"/>
      <c r="JW50" s="242"/>
      <c r="JX50" s="242"/>
      <c r="JY50" s="235"/>
      <c r="JZ50" s="235"/>
      <c r="KA50" s="235"/>
      <c r="KB50" s="235"/>
      <c r="KC50" s="235"/>
      <c r="KD50" s="235"/>
      <c r="KE50" s="235"/>
      <c r="KG50" s="1178"/>
      <c r="KH50" s="1190"/>
      <c r="KK50" s="1190"/>
      <c r="KL50" s="1190"/>
      <c r="KM50" s="235"/>
      <c r="KN50" s="235"/>
      <c r="KQ50" s="1190"/>
      <c r="KR50" s="1190"/>
      <c r="KS50" s="235"/>
      <c r="KT50" s="235"/>
      <c r="LJ50" s="1190"/>
      <c r="LL50" s="1190"/>
      <c r="LM50" s="1190"/>
      <c r="LQ50" s="1190"/>
      <c r="LS50" s="1190"/>
      <c r="LT50" s="1190"/>
      <c r="LX50" s="1190"/>
      <c r="MC50" s="1190"/>
      <c r="MY50" s="237"/>
      <c r="MZ50" s="235"/>
      <c r="NA50" s="235"/>
      <c r="NB50" s="235"/>
      <c r="NC50" s="235"/>
      <c r="ND50" s="235"/>
      <c r="NE50" s="235"/>
      <c r="NF50" s="235"/>
      <c r="NG50" s="235"/>
      <c r="NH50" s="235"/>
      <c r="NI50" s="235"/>
      <c r="NJ50" s="235"/>
      <c r="NK50" s="235"/>
      <c r="NL50" s="235"/>
      <c r="NM50" s="235"/>
      <c r="NN50" s="235"/>
      <c r="NO50" s="235"/>
      <c r="NP50" s="235"/>
      <c r="NQ50" s="235"/>
      <c r="NR50" s="235"/>
      <c r="NS50" s="235"/>
      <c r="NT50" s="235"/>
      <c r="NU50" s="235"/>
      <c r="NV50" s="235"/>
      <c r="NW50" s="235"/>
      <c r="NX50" s="235"/>
      <c r="NY50" s="235"/>
      <c r="NZ50" s="235"/>
      <c r="OA50" s="235"/>
      <c r="OD50" s="235"/>
      <c r="OG50" s="235"/>
      <c r="OH50" s="235"/>
      <c r="OI50" s="235"/>
      <c r="OJ50" s="235"/>
      <c r="OK50" s="235"/>
      <c r="OL50" s="235"/>
      <c r="OM50" s="235"/>
      <c r="ON50" s="235"/>
      <c r="OO50" s="235"/>
      <c r="OP50" s="235"/>
      <c r="OQ50" s="235"/>
      <c r="OR50" s="235"/>
      <c r="OS50" s="235"/>
      <c r="OT50" s="235"/>
      <c r="OU50" s="235"/>
      <c r="OV50" s="235"/>
      <c r="OW50" s="235"/>
      <c r="OX50" s="235"/>
      <c r="OY50" s="235"/>
      <c r="OZ50" s="235"/>
      <c r="PA50" s="235"/>
      <c r="PB50" s="235"/>
      <c r="PC50" s="235"/>
      <c r="PD50" s="235"/>
      <c r="PE50" s="235"/>
      <c r="PF50" s="235"/>
      <c r="PG50" s="235"/>
      <c r="PH50" s="235"/>
      <c r="PI50" s="235"/>
      <c r="PJ50" s="235"/>
      <c r="PK50" s="235"/>
      <c r="PL50" s="235"/>
      <c r="PM50" s="235"/>
      <c r="PN50" s="235"/>
      <c r="PO50" s="235"/>
      <c r="PP50" s="235"/>
      <c r="PQ50" s="235"/>
      <c r="PR50" s="235"/>
      <c r="PS50" s="235"/>
      <c r="PT50" s="235"/>
      <c r="PU50" s="235"/>
      <c r="PV50" s="235"/>
      <c r="PW50" s="235"/>
      <c r="PX50" s="235"/>
      <c r="PY50" s="235"/>
      <c r="PZ50" s="235"/>
      <c r="QA50" s="235"/>
      <c r="QB50" s="235"/>
      <c r="QC50" s="235"/>
      <c r="QD50" s="235"/>
      <c r="QE50" s="235"/>
      <c r="QF50" s="235"/>
      <c r="QG50" s="235"/>
      <c r="QH50" s="235"/>
      <c r="QI50" s="235"/>
      <c r="QJ50" s="235"/>
      <c r="QK50" s="235"/>
      <c r="QL50" s="235"/>
      <c r="QM50" s="235"/>
      <c r="QN50" s="235"/>
      <c r="QO50" s="235"/>
      <c r="QP50" s="235"/>
      <c r="QQ50" s="235"/>
      <c r="QR50" s="235"/>
      <c r="QS50" s="235"/>
      <c r="QT50" s="235"/>
      <c r="QU50" s="235"/>
      <c r="QV50" s="235"/>
      <c r="QW50" s="235"/>
      <c r="QX50" s="235"/>
      <c r="QY50" s="235"/>
      <c r="QZ50" s="235"/>
      <c r="RA50" s="235"/>
      <c r="RB50" s="235"/>
      <c r="RC50" s="235"/>
      <c r="RD50" s="235"/>
      <c r="RE50" s="235"/>
      <c r="RF50" s="235"/>
      <c r="RG50" s="235"/>
      <c r="RH50" s="235"/>
      <c r="RI50" s="235"/>
      <c r="RJ50" s="235"/>
      <c r="RR50" s="215" t="s">
        <v>49</v>
      </c>
      <c r="RS50" s="221">
        <f>RS48-RS49</f>
        <v>27501500</v>
      </c>
      <c r="RT50" s="221">
        <f>RT48-RT49</f>
        <v>-76469026.069999993</v>
      </c>
      <c r="RU50" s="228"/>
      <c r="RV50" s="221">
        <f>RV48-RV49</f>
        <v>17901519.810000002</v>
      </c>
      <c r="SW50" s="221">
        <f>SW48-SW49</f>
        <v>190000000</v>
      </c>
      <c r="SX50" s="221">
        <f>SX48-SX49</f>
        <v>140761606.75999999</v>
      </c>
      <c r="SY50" s="221"/>
      <c r="SZ50" s="221"/>
      <c r="TA50" s="221"/>
      <c r="TB50" s="221"/>
      <c r="TC50" s="221"/>
      <c r="TD50" s="221"/>
      <c r="TE50" s="221"/>
      <c r="TF50" s="221"/>
      <c r="TG50" s="221"/>
      <c r="TH50" s="221"/>
      <c r="TI50" s="221"/>
      <c r="TJ50" s="221"/>
      <c r="TK50" s="221"/>
      <c r="TL50" s="221"/>
      <c r="TM50" s="221"/>
      <c r="TN50" s="221"/>
      <c r="TO50" s="221"/>
      <c r="TP50" s="221"/>
      <c r="TQ50" s="221"/>
      <c r="TR50" s="221"/>
      <c r="TS50" s="221"/>
      <c r="TT50" s="221"/>
      <c r="TU50" s="221"/>
      <c r="TV50" s="221"/>
      <c r="TW50" s="221"/>
      <c r="TX50" s="221"/>
      <c r="TY50" s="221"/>
      <c r="TZ50" s="221"/>
      <c r="UA50" s="221"/>
      <c r="UB50" s="221"/>
      <c r="UC50" s="221"/>
      <c r="UD50" s="221"/>
      <c r="UE50" s="221"/>
      <c r="UF50" s="221"/>
      <c r="UG50" s="221"/>
      <c r="UH50" s="221"/>
      <c r="UI50" s="221"/>
      <c r="UJ50" s="221"/>
      <c r="UK50" s="221"/>
      <c r="UL50" s="221"/>
      <c r="UM50" s="221"/>
      <c r="UN50" s="221"/>
      <c r="UO50" s="221"/>
      <c r="UP50" s="221"/>
      <c r="UQ50" s="221"/>
      <c r="UR50" s="221"/>
      <c r="US50" s="221"/>
      <c r="UT50" s="221"/>
      <c r="UU50" s="221"/>
      <c r="UV50" s="221"/>
      <c r="UW50" s="221"/>
      <c r="UX50" s="221"/>
      <c r="VO50" s="218"/>
      <c r="VP50" s="218"/>
      <c r="VQ50" s="218"/>
      <c r="VR50" s="218"/>
      <c r="VS50" s="218"/>
      <c r="VT50" s="218"/>
      <c r="VU50" s="218"/>
      <c r="VV50" s="218"/>
      <c r="VW50" s="218"/>
      <c r="VX50" s="218"/>
      <c r="VY50" s="218"/>
      <c r="VZ50" s="218"/>
      <c r="WA50" s="218"/>
      <c r="WB50" s="218"/>
      <c r="WC50" s="218"/>
      <c r="WD50" s="218"/>
      <c r="WE50" s="218"/>
      <c r="WF50" s="218"/>
      <c r="WG50" s="218"/>
      <c r="WH50" s="218"/>
    </row>
    <row r="51" spans="1:606" s="215" customFormat="1" ht="18.75" customHeight="1" x14ac:dyDescent="0.25">
      <c r="B51" s="235"/>
      <c r="C51" s="235"/>
      <c r="D51" s="235"/>
      <c r="E51" s="235"/>
      <c r="AI51" s="235">
        <f>AI50-'Район  и  поселения'!AB36</f>
        <v>0</v>
      </c>
      <c r="AJ51" s="235">
        <f>AJ50-'Район  и  поселения'!BF36</f>
        <v>0</v>
      </c>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c r="BY51" s="235"/>
      <c r="BZ51" s="235"/>
      <c r="CA51" s="235"/>
      <c r="CB51" s="235"/>
      <c r="CC51" s="235"/>
      <c r="CD51" s="235"/>
      <c r="CE51" s="235"/>
      <c r="CF51" s="235"/>
      <c r="CG51" s="235"/>
      <c r="CH51" s="235"/>
      <c r="CI51" s="235"/>
      <c r="CJ51" s="235"/>
      <c r="CK51"/>
      <c r="CL51" s="235"/>
      <c r="CM51" s="235"/>
      <c r="CN51" s="235"/>
      <c r="CO51" s="235"/>
      <c r="CP51"/>
      <c r="CQ51" s="235"/>
      <c r="CR51" s="235"/>
      <c r="CS51" s="235"/>
      <c r="CT51" s="235"/>
      <c r="CU51"/>
      <c r="CV51" s="235"/>
      <c r="CW51" s="235"/>
      <c r="CX51" s="235"/>
      <c r="CY51" s="235"/>
      <c r="CZ51"/>
      <c r="DA51" s="235"/>
      <c r="DB51" s="235"/>
      <c r="DC51" s="235"/>
      <c r="DD51" s="235"/>
      <c r="EK51" s="1190"/>
      <c r="EL51" s="1190"/>
      <c r="EM51" s="1190"/>
      <c r="EN51" s="1190"/>
      <c r="EO51" s="1190"/>
      <c r="EP51" s="1190"/>
      <c r="EQ51" s="1190"/>
      <c r="ER51" s="1190"/>
      <c r="EY51" s="1190"/>
      <c r="EZ51" s="1190"/>
      <c r="FA51" s="1190"/>
      <c r="FB51" s="1190"/>
      <c r="FC51" s="1190"/>
      <c r="FD51" s="1190"/>
      <c r="FE51" s="235"/>
      <c r="FF51" s="235"/>
      <c r="FG51" s="235"/>
      <c r="FH51" s="235"/>
      <c r="FI51" s="235"/>
      <c r="FJ51" s="235"/>
      <c r="FK51" s="235"/>
      <c r="FL51" s="235"/>
      <c r="FM51" s="235"/>
      <c r="FN51" s="235"/>
      <c r="GA51" s="235"/>
      <c r="GB51" s="235"/>
      <c r="GC51" s="235"/>
      <c r="GD51" s="235"/>
      <c r="GE51" s="235"/>
      <c r="GF51" s="235"/>
      <c r="GG51" s="235"/>
      <c r="GH51" s="235"/>
      <c r="GI51" s="235"/>
      <c r="GJ51" s="235"/>
      <c r="GK51" s="235"/>
      <c r="GL51" s="235"/>
      <c r="GY51" s="1190"/>
      <c r="GZ51" s="1190"/>
      <c r="HA51" s="1190"/>
      <c r="HB51" s="1190"/>
      <c r="HC51" s="1190"/>
      <c r="HD51" s="1190"/>
      <c r="IO51" s="242"/>
      <c r="IP51" s="242"/>
      <c r="IQ51" s="242"/>
      <c r="IR51" s="242"/>
      <c r="IS51" s="242"/>
      <c r="IT51" s="242"/>
      <c r="IU51" s="242"/>
      <c r="IV51" s="242"/>
      <c r="IW51" s="242"/>
      <c r="IX51" s="242"/>
      <c r="IY51" s="242"/>
      <c r="IZ51" s="242"/>
      <c r="JA51" s="242"/>
      <c r="JB51" s="242"/>
      <c r="JC51" s="242"/>
      <c r="JD51" s="242"/>
      <c r="JE51" s="242"/>
      <c r="JF51" s="242"/>
      <c r="JG51" s="242"/>
      <c r="JH51" s="242"/>
      <c r="JI51" s="242"/>
      <c r="JJ51" s="242"/>
      <c r="JK51" s="242"/>
      <c r="JL51" s="242"/>
      <c r="JM51" s="242"/>
      <c r="JN51" s="242"/>
      <c r="JO51" s="242"/>
      <c r="JP51" s="242"/>
      <c r="JQ51" s="242"/>
      <c r="JR51" s="242"/>
      <c r="JS51" s="242"/>
      <c r="JT51" s="242"/>
      <c r="JU51" s="242"/>
      <c r="JV51" s="242"/>
      <c r="JW51" s="242"/>
      <c r="JX51" s="242"/>
      <c r="JY51" s="221"/>
      <c r="JZ51" s="221"/>
      <c r="KA51" s="221"/>
      <c r="KB51" s="221"/>
      <c r="KC51" s="221"/>
      <c r="KD51" s="221"/>
      <c r="KE51" s="221"/>
      <c r="KF51"/>
      <c r="KG51"/>
      <c r="KH51"/>
      <c r="KI51"/>
      <c r="KJ51"/>
      <c r="KK51"/>
      <c r="KL51"/>
      <c r="KM51" s="235"/>
      <c r="KN51" s="235"/>
      <c r="KO51"/>
      <c r="KP51"/>
      <c r="KQ51"/>
      <c r="KR51"/>
      <c r="KS51" s="235"/>
      <c r="KT51" s="235"/>
      <c r="KU51"/>
      <c r="KV51"/>
      <c r="KW51"/>
      <c r="KX51"/>
      <c r="KY51"/>
      <c r="KZ51"/>
      <c r="LA51"/>
      <c r="LB51"/>
      <c r="LC51"/>
      <c r="LD51"/>
      <c r="LE51"/>
      <c r="LF51"/>
      <c r="LJ51" s="1190"/>
      <c r="LL51" s="1190"/>
      <c r="LM51" s="1190"/>
      <c r="LQ51" s="1190"/>
      <c r="LS51" s="1190"/>
      <c r="LT51" s="1190"/>
      <c r="LX51" s="1190"/>
      <c r="MC51" s="1190"/>
      <c r="MY51" s="220"/>
      <c r="MZ51" s="235"/>
      <c r="NA51" s="235"/>
      <c r="NB51" s="235"/>
      <c r="NC51" s="235"/>
      <c r="ND51" s="235"/>
      <c r="NE51" s="235"/>
      <c r="NF51" s="235"/>
      <c r="NG51" s="235"/>
      <c r="NH51" s="235"/>
      <c r="NI51" s="235"/>
      <c r="NJ51" s="235"/>
      <c r="NK51" s="235"/>
      <c r="NL51" s="235"/>
      <c r="NM51" s="235"/>
      <c r="NN51" s="235"/>
      <c r="NO51" s="235"/>
      <c r="NP51" s="235"/>
      <c r="NQ51" s="235"/>
      <c r="NR51" s="235"/>
      <c r="NS51" s="235"/>
      <c r="NT51" s="235"/>
      <c r="NU51" s="235"/>
      <c r="NV51" s="235"/>
      <c r="NW51" s="235"/>
      <c r="NX51" s="235"/>
      <c r="NY51" s="235"/>
      <c r="NZ51" s="235"/>
      <c r="OA51" s="235"/>
      <c r="OD51" s="235"/>
      <c r="OG51" s="235"/>
      <c r="OH51" s="235"/>
      <c r="OI51" s="235"/>
      <c r="OJ51" s="235"/>
      <c r="OK51" s="235"/>
      <c r="OL51" s="235"/>
      <c r="OM51" s="235"/>
      <c r="ON51" s="235"/>
      <c r="OO51" s="235"/>
      <c r="OP51" s="235"/>
      <c r="OQ51" s="235"/>
      <c r="OR51" s="235"/>
      <c r="OS51" s="235"/>
      <c r="OT51" s="235"/>
      <c r="OU51" s="235"/>
      <c r="OV51" s="235"/>
      <c r="OW51" s="235"/>
      <c r="OX51" s="235"/>
      <c r="OY51" s="235"/>
      <c r="OZ51" s="235"/>
      <c r="PA51" s="235"/>
      <c r="PB51" s="235"/>
      <c r="PC51" s="235"/>
      <c r="PD51" s="235"/>
      <c r="PE51" s="235"/>
      <c r="PF51" s="235"/>
      <c r="PG51" s="235"/>
      <c r="PH51" s="235"/>
      <c r="PI51" s="235"/>
      <c r="PJ51" s="235"/>
      <c r="PK51" s="235"/>
      <c r="PL51" s="235"/>
      <c r="PM51" s="235"/>
      <c r="PN51" s="235"/>
      <c r="PO51" s="235"/>
      <c r="PP51" s="235"/>
      <c r="PQ51" s="235"/>
      <c r="PR51" s="235"/>
      <c r="PS51" s="235"/>
      <c r="PT51" s="235"/>
      <c r="PU51" s="235"/>
      <c r="PV51" s="235"/>
      <c r="PW51" s="235"/>
      <c r="PX51" s="235"/>
      <c r="PY51" s="235"/>
      <c r="PZ51" s="235"/>
      <c r="QA51" s="235"/>
      <c r="QB51" s="235"/>
      <c r="QC51" s="235"/>
      <c r="QD51" s="235"/>
      <c r="QE51" s="235"/>
      <c r="QF51" s="235"/>
      <c r="QG51" s="235"/>
      <c r="QH51" s="235"/>
      <c r="QI51" s="235"/>
      <c r="QJ51" s="235"/>
      <c r="QK51" s="235"/>
      <c r="QL51" s="235"/>
      <c r="QM51" s="235"/>
      <c r="QN51" s="235"/>
      <c r="QO51" s="235"/>
      <c r="QP51" s="235"/>
      <c r="QQ51" s="235"/>
      <c r="QR51" s="235"/>
      <c r="QS51" s="235"/>
      <c r="QT51" s="235"/>
      <c r="QU51" s="235"/>
      <c r="QV51" s="235"/>
      <c r="QW51" s="235"/>
      <c r="QX51" s="235"/>
      <c r="QY51" s="235"/>
      <c r="QZ51" s="235"/>
      <c r="RA51" s="235"/>
      <c r="RB51" s="235"/>
      <c r="RC51" s="235"/>
      <c r="RD51" s="235"/>
      <c r="RE51" s="235"/>
      <c r="RF51" s="235"/>
      <c r="RG51" s="235"/>
      <c r="RH51" s="235"/>
      <c r="RI51" s="235"/>
      <c r="RJ51" s="235"/>
      <c r="RR51" s="215" t="s">
        <v>179</v>
      </c>
      <c r="RS51" s="235">
        <f>RS37-RS47-RS48-RS46</f>
        <v>0</v>
      </c>
      <c r="RV51" s="235">
        <f>RV37-RV47-RV48-RV46</f>
        <v>0</v>
      </c>
      <c r="SW51" s="235">
        <f>SW37-SW47-SW48-SW46</f>
        <v>0</v>
      </c>
      <c r="SX51" s="235">
        <f>SX37-SX47-SX48-SX46</f>
        <v>0</v>
      </c>
      <c r="SY51" s="235"/>
      <c r="SZ51" s="235"/>
      <c r="TA51" s="235"/>
      <c r="TB51" s="235"/>
      <c r="TC51" s="235"/>
      <c r="TD51" s="235"/>
      <c r="TE51" s="235"/>
      <c r="TF51" s="235"/>
      <c r="TG51" s="235"/>
      <c r="TH51" s="235"/>
      <c r="TI51" s="235"/>
      <c r="TJ51" s="235"/>
      <c r="TK51" s="235"/>
      <c r="TL51" s="235"/>
      <c r="TM51" s="235"/>
      <c r="TN51" s="235"/>
      <c r="TO51" s="235"/>
      <c r="TP51" s="235"/>
      <c r="TQ51" s="235"/>
      <c r="TR51" s="235"/>
      <c r="TS51" s="235"/>
      <c r="TT51" s="235"/>
      <c r="TU51" s="235"/>
      <c r="TV51" s="235"/>
      <c r="TW51" s="235"/>
      <c r="TX51" s="235"/>
      <c r="TY51" s="235"/>
      <c r="TZ51" s="235"/>
      <c r="UA51" s="235"/>
      <c r="UB51" s="235"/>
      <c r="UC51" s="235"/>
      <c r="UD51" s="235"/>
      <c r="UE51" s="235"/>
      <c r="UF51" s="235"/>
      <c r="UG51" s="235"/>
      <c r="UH51" s="235"/>
      <c r="UI51" s="235"/>
      <c r="UJ51" s="235"/>
      <c r="UK51" s="235"/>
      <c r="UL51" s="235"/>
      <c r="UM51" s="235"/>
      <c r="UN51" s="235"/>
      <c r="UO51" s="235"/>
      <c r="UP51" s="235"/>
      <c r="UQ51" s="235"/>
      <c r="UR51" s="235"/>
      <c r="US51" s="235"/>
      <c r="UT51" s="235"/>
      <c r="UU51" s="235"/>
      <c r="UV51" s="235"/>
      <c r="UW51" s="235"/>
      <c r="UX51" s="235"/>
    </row>
    <row r="52" spans="1:606" x14ac:dyDescent="0.25">
      <c r="AI52" s="227"/>
      <c r="IO52" s="215"/>
      <c r="IP52" s="215"/>
      <c r="IQ52" s="215"/>
      <c r="IR52" s="215"/>
      <c r="IS52" s="215"/>
      <c r="IT52" s="215"/>
      <c r="IU52" s="215"/>
      <c r="IV52" s="215"/>
      <c r="IW52" s="215"/>
      <c r="IX52" s="215"/>
      <c r="IY52" s="215"/>
      <c r="IZ52" s="215"/>
      <c r="JA52" s="215"/>
      <c r="JB52" s="215"/>
      <c r="JC52" s="215"/>
      <c r="JD52" s="215"/>
      <c r="JE52" s="215"/>
      <c r="JF52" s="215"/>
      <c r="JG52" s="215"/>
      <c r="JH52" s="215"/>
      <c r="JI52" s="215"/>
      <c r="JJ52" s="215"/>
      <c r="JK52" s="215"/>
      <c r="JL52" s="215"/>
      <c r="JM52" s="215"/>
      <c r="JN52" s="215"/>
      <c r="JO52" s="215"/>
      <c r="JP52" s="215"/>
      <c r="JQ52" s="215"/>
      <c r="JR52" s="215"/>
      <c r="JS52" s="215"/>
      <c r="JT52" s="215"/>
      <c r="JU52" s="215"/>
      <c r="JV52" s="215"/>
      <c r="JW52" s="215"/>
      <c r="JX52" s="215"/>
      <c r="JY52" s="221"/>
      <c r="JZ52" s="221"/>
      <c r="KA52" s="221"/>
      <c r="KB52" s="221"/>
      <c r="KC52" s="221"/>
      <c r="KD52" s="221"/>
      <c r="KE52" s="221"/>
    </row>
    <row r="53" spans="1:606" s="1019" customFormat="1" ht="33.6" x14ac:dyDescent="0.3">
      <c r="A53" s="1278" t="s">
        <v>383</v>
      </c>
      <c r="B53" s="1015">
        <f>NU53+OA53+DE53+DM53+DU53+FU53+GA53+HE53+HW53+'Проверочная  таблица'!JY53+'Прочая  субсидия_МР  и  ГО'!B42+CG53+CQ53+OS53+PG53+AW53+AK53+GY53</f>
        <v>2284003264.3599997</v>
      </c>
      <c r="C53" s="1015">
        <f>NX53+OD53+DF53+DN53+EC53+FX53+GD53+HN53+IF53+'Проверочная  таблица'!KD53+'Прочая  субсидия_МР  и  ГО'!C42+CL53+CV53+OZ53+PP53+AQ53+BC53+HB53</f>
        <v>1378077024.49</v>
      </c>
      <c r="D53" s="1193">
        <f>B53/1000</f>
        <v>2284003.2643599994</v>
      </c>
      <c r="E53" s="1193">
        <f>C53/1000</f>
        <v>1378077.02449</v>
      </c>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902">
        <f t="shared" ref="AK53:AK61" si="465">SUM(AL53:AP53)</f>
        <v>0</v>
      </c>
      <c r="AL53" s="1022">
        <f>AL37</f>
        <v>0</v>
      </c>
      <c r="AM53" s="218"/>
      <c r="AN53" s="218"/>
      <c r="AO53" s="1022">
        <f t="shared" ref="AO53:AP53" si="466">AO37</f>
        <v>0</v>
      </c>
      <c r="AP53" s="1022">
        <f t="shared" si="466"/>
        <v>0</v>
      </c>
      <c r="AQ53" s="902">
        <f t="shared" ref="AQ53:AQ61" si="467">SUM(AR53:AV53)</f>
        <v>0</v>
      </c>
      <c r="AR53" s="1022">
        <f>AR37</f>
        <v>0</v>
      </c>
      <c r="AS53" s="218"/>
      <c r="AT53" s="218"/>
      <c r="AU53" s="1022">
        <f t="shared" ref="AU53" si="468">AU37</f>
        <v>0</v>
      </c>
      <c r="AV53" s="1022">
        <f t="shared" ref="AV53" si="469">AV37</f>
        <v>0</v>
      </c>
      <c r="AW53" s="902">
        <f t="shared" ref="AW53:AW61" si="470">SUM(AX53:BB53)</f>
        <v>90385736.450000003</v>
      </c>
      <c r="AX53" s="1022">
        <f>AX37</f>
        <v>88386939.620000005</v>
      </c>
      <c r="AY53" s="218"/>
      <c r="AZ53" s="1022"/>
      <c r="BA53" s="1022">
        <f t="shared" ref="BA53" si="471">BA37</f>
        <v>0</v>
      </c>
      <c r="BB53" s="1022">
        <f t="shared" ref="BB53" si="472">BB37</f>
        <v>1998796.83</v>
      </c>
      <c r="BC53" s="902">
        <f t="shared" ref="BC53:BC61" si="473">SUM(BD53:BH53)</f>
        <v>22763727.43</v>
      </c>
      <c r="BD53" s="1022">
        <f>BD37</f>
        <v>22763727.43</v>
      </c>
      <c r="BE53" s="218"/>
      <c r="BF53" s="1022"/>
      <c r="BG53" s="1022">
        <f t="shared" ref="BG53:BH53" si="474">BG37</f>
        <v>0</v>
      </c>
      <c r="BH53" s="1022">
        <f t="shared" si="474"/>
        <v>0</v>
      </c>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21">
        <f>CH37</f>
        <v>329692872.85000002</v>
      </c>
      <c r="CH53" s="218"/>
      <c r="CI53" s="218"/>
      <c r="CJ53" s="218"/>
      <c r="CK53"/>
      <c r="CL53" s="221">
        <f>CM37</f>
        <v>28947701.23</v>
      </c>
      <c r="CM53" s="218"/>
      <c r="CN53" s="218"/>
      <c r="CO53" s="218"/>
      <c r="CP53"/>
      <c r="CQ53" s="221">
        <f>CR37</f>
        <v>15459000</v>
      </c>
      <c r="CR53" s="218"/>
      <c r="CS53" s="218"/>
      <c r="CT53" s="218"/>
      <c r="CU53"/>
      <c r="CV53" s="221">
        <f>CW37</f>
        <v>0</v>
      </c>
      <c r="CW53" s="218"/>
      <c r="CX53" s="218"/>
      <c r="CY53" s="218"/>
      <c r="CZ53"/>
      <c r="DA53" s="218"/>
      <c r="DB53" s="218"/>
      <c r="DC53" s="218"/>
      <c r="DD53" s="218"/>
      <c r="DE53" s="221">
        <f>DE38</f>
        <v>326102873.09000003</v>
      </c>
      <c r="DF53" s="221">
        <f>DF38</f>
        <v>115229040.47</v>
      </c>
      <c r="DG53" s="218"/>
      <c r="DH53" s="218"/>
      <c r="DI53" s="218"/>
      <c r="DJ53" s="218"/>
      <c r="DK53" s="218"/>
      <c r="DL53" s="218"/>
      <c r="DM53" s="221">
        <f>DM38</f>
        <v>17163309.109999999</v>
      </c>
      <c r="DN53" s="221">
        <f>DN38</f>
        <v>6064686.3499999996</v>
      </c>
      <c r="DO53" s="218"/>
      <c r="DP53" s="218"/>
      <c r="DQ53" s="218"/>
      <c r="DR53" s="218"/>
      <c r="DS53" s="218"/>
      <c r="DT53" s="218"/>
      <c r="DU53" s="221">
        <f>DU37</f>
        <v>14940453.199999999</v>
      </c>
      <c r="DV53" s="218"/>
      <c r="DW53" s="218"/>
      <c r="DX53" s="218"/>
      <c r="DY53" s="218"/>
      <c r="DZ53" s="218"/>
      <c r="EA53" s="218"/>
      <c r="EB53" s="218"/>
      <c r="EC53" s="221">
        <f>EC37</f>
        <v>4774947.16</v>
      </c>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21"/>
      <c r="FF53" s="221"/>
      <c r="FG53" s="221"/>
      <c r="FH53" s="221"/>
      <c r="FI53" s="221"/>
      <c r="FJ53" s="221"/>
      <c r="FK53" s="221"/>
      <c r="FL53" s="221"/>
      <c r="FM53" s="221"/>
      <c r="FN53" s="221"/>
      <c r="FO53" s="218"/>
      <c r="FP53" s="218"/>
      <c r="FQ53" s="218"/>
      <c r="FR53" s="218"/>
      <c r="FS53" s="218"/>
      <c r="FT53" s="218"/>
      <c r="FU53" s="221">
        <f>FU37</f>
        <v>6082100</v>
      </c>
      <c r="FV53" s="218"/>
      <c r="FW53" s="218"/>
      <c r="FX53" s="221">
        <f>FX37</f>
        <v>5329484.1100000003</v>
      </c>
      <c r="FY53" s="218"/>
      <c r="FZ53" s="218"/>
      <c r="GA53" s="221">
        <f>GA38</f>
        <v>26178800</v>
      </c>
      <c r="GB53" s="221"/>
      <c r="GC53" s="221"/>
      <c r="GD53" s="221">
        <f>GD38</f>
        <v>24913895.420000002</v>
      </c>
      <c r="GE53" s="221"/>
      <c r="GF53" s="221"/>
      <c r="GG53" s="218"/>
      <c r="GH53" s="218"/>
      <c r="GI53" s="218"/>
      <c r="GJ53" s="218"/>
      <c r="GK53" s="218"/>
      <c r="GL53" s="218"/>
      <c r="GY53" s="902">
        <f t="shared" ref="GY53:GY61" si="475">SUM(GZ53:HA53)</f>
        <v>0</v>
      </c>
      <c r="GZ53" s="1013">
        <f t="shared" ref="GZ53" si="476">GZ37+HA37</f>
        <v>0</v>
      </c>
      <c r="HB53" s="902">
        <f t="shared" ref="HB53:HB61" si="477">SUM(HC53:HD53)</f>
        <v>0</v>
      </c>
      <c r="HC53" s="1013">
        <f t="shared" ref="HC53" si="478">HC37+HD37</f>
        <v>0</v>
      </c>
      <c r="HE53" s="1020">
        <f>SUM(HF53:HM53)</f>
        <v>3225431.7699999996</v>
      </c>
      <c r="HF53" s="218"/>
      <c r="HG53" s="218"/>
      <c r="HH53" s="1013">
        <f>HH37+HI37</f>
        <v>3225431.7699999996</v>
      </c>
      <c r="HI53" s="218"/>
      <c r="HJ53" s="218"/>
      <c r="HK53" s="218"/>
      <c r="HL53" s="1013">
        <f>HL37+HM37</f>
        <v>0</v>
      </c>
      <c r="HM53" s="218"/>
      <c r="HN53" s="1020">
        <f>SUM(HO53:HV53)</f>
        <v>3225431.7699999996</v>
      </c>
      <c r="HO53" s="218"/>
      <c r="HP53" s="218"/>
      <c r="HQ53" s="1013">
        <f>HQ37+HR37</f>
        <v>3225431.7699999996</v>
      </c>
      <c r="HR53" s="218"/>
      <c r="HS53" s="218"/>
      <c r="HT53" s="218"/>
      <c r="HU53" s="1013">
        <f>HU37+HV37</f>
        <v>0</v>
      </c>
      <c r="HV53" s="218"/>
      <c r="HW53" s="1020">
        <f>SUM(HX53:IE53)</f>
        <v>117068.23000000001</v>
      </c>
      <c r="HX53" s="218"/>
      <c r="HY53" s="218"/>
      <c r="HZ53" s="1013">
        <f>HZ37+IA37</f>
        <v>117068.23000000001</v>
      </c>
      <c r="IA53" s="218"/>
      <c r="IB53" s="218"/>
      <c r="IC53" s="218"/>
      <c r="ID53" s="1013">
        <f>ID37+IE37</f>
        <v>0</v>
      </c>
      <c r="IE53" s="218"/>
      <c r="IF53" s="1020">
        <f>SUM(IG53:IN53)</f>
        <v>117068.23000000001</v>
      </c>
      <c r="IG53" s="218"/>
      <c r="IH53" s="218"/>
      <c r="II53" s="1013">
        <f>II37+IJ37</f>
        <v>117068.23000000001</v>
      </c>
      <c r="IJ53" s="218"/>
      <c r="IK53" s="218"/>
      <c r="IL53" s="218"/>
      <c r="IM53" s="1013">
        <f>IM37+IN37</f>
        <v>0</v>
      </c>
      <c r="IN53" s="218"/>
      <c r="IO53" s="215"/>
      <c r="IP53" s="215"/>
      <c r="IQ53" s="215"/>
      <c r="IR53" s="215"/>
      <c r="IS53" s="215"/>
      <c r="IT53" s="215"/>
      <c r="IU53" s="215"/>
      <c r="IV53" s="215"/>
      <c r="IW53" s="215"/>
      <c r="IX53" s="215"/>
      <c r="IY53" s="215"/>
      <c r="IZ53" s="215"/>
      <c r="JA53" s="215"/>
      <c r="JB53" s="215"/>
      <c r="JC53" s="215"/>
      <c r="JD53" s="215"/>
      <c r="JE53" s="215"/>
      <c r="JF53" s="215"/>
      <c r="JG53" s="215"/>
      <c r="JH53" s="215"/>
      <c r="JI53" s="215"/>
      <c r="JJ53" s="215"/>
      <c r="JK53" s="215"/>
      <c r="JL53" s="215"/>
      <c r="JM53" s="215"/>
      <c r="JN53" s="215"/>
      <c r="JO53" s="215"/>
      <c r="JP53" s="215"/>
      <c r="JQ53" s="215"/>
      <c r="JR53" s="215"/>
      <c r="JS53" s="215"/>
      <c r="JT53" s="215"/>
      <c r="JU53" s="215"/>
      <c r="JV53" s="215"/>
      <c r="JW53" s="215"/>
      <c r="JX53" s="215"/>
      <c r="JY53" s="221">
        <f>JY37</f>
        <v>451104867.69999999</v>
      </c>
      <c r="JZ53" s="221"/>
      <c r="KA53" s="221"/>
      <c r="KB53" s="221"/>
      <c r="KC53" s="221"/>
      <c r="KD53" s="221">
        <f>KD37</f>
        <v>235187625.56999999</v>
      </c>
      <c r="KE53" s="221"/>
      <c r="KF53"/>
      <c r="KG53"/>
      <c r="KH53"/>
      <c r="KI53"/>
      <c r="KJ53"/>
      <c r="KK53"/>
      <c r="KL53"/>
      <c r="KM53" s="221"/>
      <c r="KN53" s="221"/>
      <c r="KO53"/>
      <c r="KP53"/>
      <c r="KQ53"/>
      <c r="KR53"/>
      <c r="KS53" s="221"/>
      <c r="KT53" s="221"/>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s="218"/>
      <c r="MZ53" s="221"/>
      <c r="NA53" s="218"/>
      <c r="NB53" s="221"/>
      <c r="NC53" s="218"/>
      <c r="ND53" s="218"/>
      <c r="NE53" s="218"/>
      <c r="NF53" s="218"/>
      <c r="NG53" s="218"/>
      <c r="NH53" s="221"/>
      <c r="NI53" s="221"/>
      <c r="NJ53" s="221"/>
      <c r="NK53" s="221"/>
      <c r="NL53" s="221"/>
      <c r="NM53" s="221"/>
      <c r="NN53" s="221"/>
      <c r="NO53" s="221"/>
      <c r="NP53" s="221"/>
      <c r="NQ53" s="221"/>
      <c r="NR53" s="221"/>
      <c r="NS53" s="221"/>
      <c r="NT53" s="221"/>
      <c r="NU53" s="902">
        <f t="shared" ref="NU53:NU61" si="479">SUM(NV53:NW53)</f>
        <v>0</v>
      </c>
      <c r="NV53" s="1022">
        <f>NV37</f>
        <v>0</v>
      </c>
      <c r="NW53" s="1022">
        <f>NW37</f>
        <v>0</v>
      </c>
      <c r="NX53" s="902">
        <f t="shared" ref="NX53:NX61" si="480">SUM(NY53:NZ53)</f>
        <v>0</v>
      </c>
      <c r="NY53" s="1022">
        <f>NY37</f>
        <v>0</v>
      </c>
      <c r="NZ53" s="1022">
        <f>NZ37</f>
        <v>0</v>
      </c>
      <c r="OA53" s="221"/>
      <c r="OD53" s="221"/>
      <c r="OG53" s="218"/>
      <c r="OH53" s="218"/>
      <c r="OI53" s="218"/>
      <c r="OJ53" s="218"/>
      <c r="OK53" s="218"/>
      <c r="OL53" s="218"/>
      <c r="OM53" s="218"/>
      <c r="ON53" s="218"/>
      <c r="OO53" s="218"/>
      <c r="OP53" s="218"/>
      <c r="OQ53" s="218"/>
      <c r="OR53" s="218"/>
      <c r="OS53" s="902">
        <f t="shared" ref="OS53:OS61" si="481">SUM(OT53:OY53)</f>
        <v>76435755.349999994</v>
      </c>
      <c r="OT53" s="1022">
        <f>OT37</f>
        <v>1786701.94</v>
      </c>
      <c r="OU53" s="1022">
        <f t="shared" ref="OU53:OY53" si="482">OU37</f>
        <v>4594376.42</v>
      </c>
      <c r="OV53" s="1022">
        <f>OV37</f>
        <v>0</v>
      </c>
      <c r="OW53" s="1022">
        <f>OW37</f>
        <v>0</v>
      </c>
      <c r="OX53" s="1022">
        <f t="shared" si="482"/>
        <v>28653989.030000001</v>
      </c>
      <c r="OY53" s="1022">
        <f t="shared" si="482"/>
        <v>41400687.959999993</v>
      </c>
      <c r="OZ53" s="902">
        <f t="shared" ref="OZ53:OZ61" si="483">SUM(PA53:PF53)</f>
        <v>24257752.93</v>
      </c>
      <c r="PA53" s="1022">
        <f>PA37</f>
        <v>0</v>
      </c>
      <c r="PB53" s="1022">
        <f t="shared" ref="PB53:PF53" si="484">PB37</f>
        <v>0</v>
      </c>
      <c r="PC53" s="1022">
        <f>PC37</f>
        <v>0</v>
      </c>
      <c r="PD53" s="1022">
        <f>PD37</f>
        <v>0</v>
      </c>
      <c r="PE53" s="1022">
        <f t="shared" si="484"/>
        <v>9432992.1300000008</v>
      </c>
      <c r="PF53" s="1022">
        <f t="shared" si="484"/>
        <v>14824760.800000001</v>
      </c>
      <c r="PG53" s="902">
        <f t="shared" ref="PG53:PG61" si="485">SUM(PH28:PO28)</f>
        <v>0</v>
      </c>
      <c r="PH53" s="1022">
        <f t="shared" ref="PH53:PL53" si="486">PH37</f>
        <v>11386083.33</v>
      </c>
      <c r="PI53" s="1022">
        <f t="shared" si="486"/>
        <v>29278500</v>
      </c>
      <c r="PJ53" s="1022">
        <f t="shared" si="486"/>
        <v>1277522.67</v>
      </c>
      <c r="PK53" s="1022">
        <f t="shared" si="486"/>
        <v>3285058.3099999996</v>
      </c>
      <c r="PL53" s="1022">
        <f t="shared" si="486"/>
        <v>570111.11</v>
      </c>
      <c r="PM53" s="1022">
        <f>PM37</f>
        <v>1466000</v>
      </c>
      <c r="PN53" s="1022">
        <f t="shared" ref="PN53:PO53" si="487">PN37</f>
        <v>0</v>
      </c>
      <c r="PO53" s="1022">
        <f t="shared" si="487"/>
        <v>0</v>
      </c>
      <c r="PP53" s="902">
        <f t="shared" ref="PP53:PP61" si="488">SUM(PQ28:PX28)</f>
        <v>0</v>
      </c>
      <c r="PQ53" s="1022">
        <f>PQ37</f>
        <v>9437667.6100000031</v>
      </c>
      <c r="PR53" s="1022">
        <f t="shared" ref="PR53:PX53" si="489">PR37</f>
        <v>24268288.16</v>
      </c>
      <c r="PS53" s="1022">
        <f t="shared" si="489"/>
        <v>1250756.48</v>
      </c>
      <c r="PT53" s="1022">
        <f t="shared" si="489"/>
        <v>3216230.96</v>
      </c>
      <c r="PU53" s="1022">
        <f t="shared" si="489"/>
        <v>0</v>
      </c>
      <c r="PV53" s="1022">
        <f t="shared" si="489"/>
        <v>0</v>
      </c>
      <c r="PW53" s="1022">
        <f t="shared" si="489"/>
        <v>0</v>
      </c>
      <c r="PX53" s="1022">
        <f t="shared" si="489"/>
        <v>0</v>
      </c>
      <c r="PY53" s="221"/>
      <c r="PZ53" s="221"/>
      <c r="QA53" s="221"/>
      <c r="QB53" s="221"/>
      <c r="QC53" s="221"/>
      <c r="QD53" s="221"/>
      <c r="QE53" s="221"/>
      <c r="QF53" s="221"/>
      <c r="QG53" s="221"/>
      <c r="QH53" s="221"/>
      <c r="QI53" s="221"/>
      <c r="QJ53" s="221"/>
      <c r="QK53" s="221"/>
      <c r="QL53" s="221"/>
      <c r="QM53" s="221"/>
      <c r="QN53" s="221"/>
      <c r="QO53" s="221"/>
      <c r="QP53" s="221"/>
      <c r="QQ53" s="221"/>
      <c r="QR53" s="221"/>
      <c r="QS53" s="221"/>
      <c r="QT53" s="221"/>
      <c r="QU53" s="221"/>
      <c r="QV53" s="221"/>
      <c r="QW53" s="221"/>
      <c r="QX53" s="221"/>
      <c r="QY53" s="221"/>
      <c r="QZ53" s="221"/>
      <c r="RA53" s="221"/>
      <c r="RB53" s="221"/>
      <c r="RC53" s="221"/>
      <c r="RD53" s="221"/>
      <c r="RE53" s="221"/>
      <c r="RF53" s="221"/>
      <c r="RG53" s="221"/>
      <c r="RH53" s="221"/>
      <c r="RI53" s="221"/>
      <c r="RJ53" s="221"/>
      <c r="RK53" s="218"/>
      <c r="RL53" s="218"/>
      <c r="RM53" s="218"/>
      <c r="RN53" s="218"/>
      <c r="RO53" s="218"/>
      <c r="RP53" s="218"/>
      <c r="RQ53" s="218"/>
      <c r="RR53" s="218"/>
      <c r="RS53" s="218"/>
      <c r="RT53" s="218"/>
      <c r="RU53" s="218"/>
      <c r="RV53" s="218"/>
      <c r="RW53" s="218"/>
      <c r="RX53" s="218"/>
      <c r="RY53" s="218"/>
      <c r="RZ53" s="218"/>
      <c r="SA53" s="218"/>
      <c r="SB53" s="218"/>
      <c r="SC53" s="218"/>
      <c r="SD53" s="218"/>
      <c r="SE53" s="218"/>
      <c r="SF53" s="218"/>
      <c r="SG53" s="218"/>
      <c r="SH53" s="218"/>
      <c r="SI53" s="218"/>
      <c r="SJ53" s="218"/>
      <c r="SK53" s="218"/>
      <c r="SL53" s="218"/>
      <c r="SM53" s="218"/>
      <c r="SN53" s="218"/>
      <c r="SO53" s="218"/>
      <c r="SP53" s="218"/>
      <c r="SQ53" s="218"/>
      <c r="SR53" s="218"/>
      <c r="SS53" s="218"/>
      <c r="ST53" s="218"/>
      <c r="SU53" s="218"/>
      <c r="SV53" s="218"/>
      <c r="SW53" s="218"/>
      <c r="SX53" s="218"/>
      <c r="SY53" s="218"/>
      <c r="SZ53" s="218"/>
      <c r="TA53" s="218"/>
      <c r="TB53" s="218"/>
      <c r="TC53" s="218"/>
      <c r="TD53" s="218"/>
      <c r="TE53" s="218"/>
      <c r="TF53" s="218"/>
      <c r="TG53" s="218"/>
      <c r="TH53" s="218"/>
      <c r="TI53" s="218"/>
      <c r="TJ53" s="218"/>
      <c r="TK53" s="218"/>
      <c r="TL53" s="218"/>
      <c r="TM53" s="218"/>
      <c r="TN53" s="218"/>
      <c r="TO53" s="218"/>
      <c r="TP53" s="218"/>
      <c r="TQ53" s="218"/>
      <c r="TR53" s="218"/>
      <c r="TS53" s="218"/>
      <c r="TT53" s="218"/>
      <c r="TU53" s="218"/>
      <c r="TV53" s="218"/>
      <c r="TW53" s="218"/>
      <c r="TX53" s="218"/>
      <c r="TY53" s="218"/>
      <c r="TZ53" s="218"/>
      <c r="UA53" s="218"/>
      <c r="UB53" s="218"/>
      <c r="UC53" s="218"/>
      <c r="UD53" s="218"/>
      <c r="UE53" s="218"/>
      <c r="UF53" s="218"/>
      <c r="UG53" s="218"/>
      <c r="UH53" s="218"/>
      <c r="UI53" s="218"/>
      <c r="UJ53" s="218"/>
      <c r="UK53" s="218"/>
      <c r="UL53" s="218"/>
      <c r="UM53" s="218"/>
      <c r="UN53" s="218"/>
      <c r="UO53" s="218"/>
      <c r="UP53" s="218"/>
      <c r="UQ53" s="218"/>
      <c r="UR53" s="218"/>
      <c r="US53" s="218"/>
      <c r="UT53" s="218"/>
      <c r="UU53" s="218"/>
      <c r="UV53" s="218"/>
      <c r="UW53" s="218"/>
      <c r="UX53" s="218"/>
      <c r="UY53" s="218"/>
      <c r="UZ53" s="218"/>
      <c r="VA53" s="218"/>
      <c r="VB53" s="218"/>
      <c r="VC53" s="218"/>
      <c r="VD53" s="218"/>
      <c r="VE53" s="218"/>
      <c r="VF53" s="218"/>
      <c r="VG53" s="218"/>
      <c r="VH53" s="218"/>
      <c r="VI53" s="218"/>
      <c r="VJ53" s="218"/>
      <c r="VK53" s="218"/>
      <c r="VL53" s="218"/>
      <c r="VM53" s="218"/>
      <c r="VN53" s="218"/>
      <c r="VO53" s="218"/>
      <c r="VP53" s="218"/>
      <c r="VQ53" s="218"/>
      <c r="VR53" s="218"/>
      <c r="VS53" s="218"/>
      <c r="VT53" s="218"/>
      <c r="VU53" s="218"/>
      <c r="VV53" s="218"/>
      <c r="VW53" s="218"/>
      <c r="VX53" s="218"/>
      <c r="VY53" s="218"/>
      <c r="VZ53" s="218"/>
      <c r="WA53" s="218"/>
      <c r="WB53" s="218"/>
      <c r="WC53" s="218"/>
      <c r="WD53" s="218"/>
      <c r="WE53" s="218"/>
      <c r="WF53" s="218"/>
      <c r="WG53" s="218"/>
      <c r="WH53" s="218"/>
    </row>
    <row r="54" spans="1:606" s="1019" customFormat="1" x14ac:dyDescent="0.3">
      <c r="A54" s="1280" t="s">
        <v>145</v>
      </c>
      <c r="B54" s="1015">
        <f>NU54+OA54+DE54+DM54+DU54+FU54+GA54+HE54+HW54+'Проверочная  таблица'!JY54+'Прочая  субсидия_МР  и  ГО'!B43+CG54+CQ54+OS54+AK54+AW54+GY54</f>
        <v>503233811.07000005</v>
      </c>
      <c r="C54" s="1015">
        <f>NX54+OD54+DF54+DN54+EC54+FX54+GD54+HN54+IF54+'Проверочная  таблица'!KD54+'Прочая  субсидия_МР  и  ГО'!C43+CL54+CV54+OZ54+BC54+AQ54+HB54</f>
        <v>375838226.25999999</v>
      </c>
      <c r="D54" s="1193">
        <f t="shared" ref="D54:E60" si="490">B54/1000</f>
        <v>503233.81107000005</v>
      </c>
      <c r="E54" s="1193">
        <f t="shared" si="490"/>
        <v>375838.22625999997</v>
      </c>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902">
        <f t="shared" si="465"/>
        <v>0</v>
      </c>
      <c r="AL54" s="1022">
        <f>AL30</f>
        <v>0</v>
      </c>
      <c r="AM54" s="218"/>
      <c r="AN54" s="218"/>
      <c r="AO54" s="1022">
        <f t="shared" ref="AO54:AP54" si="491">AO30</f>
        <v>0</v>
      </c>
      <c r="AP54" s="1022">
        <f t="shared" si="491"/>
        <v>0</v>
      </c>
      <c r="AQ54" s="902">
        <f t="shared" si="467"/>
        <v>0</v>
      </c>
      <c r="AR54" s="1022">
        <f>AR30</f>
        <v>0</v>
      </c>
      <c r="AS54" s="218"/>
      <c r="AT54" s="218"/>
      <c r="AU54" s="1022">
        <f t="shared" ref="AU54" si="492">AU30</f>
        <v>0</v>
      </c>
      <c r="AV54" s="1022">
        <f t="shared" ref="AV54" si="493">AV30</f>
        <v>0</v>
      </c>
      <c r="AW54" s="902">
        <f t="shared" si="470"/>
        <v>0</v>
      </c>
      <c r="AX54" s="1022"/>
      <c r="AY54" s="218"/>
      <c r="AZ54" s="1022"/>
      <c r="BA54" s="1022"/>
      <c r="BB54" s="1022"/>
      <c r="BC54" s="902">
        <f t="shared" si="473"/>
        <v>0</v>
      </c>
      <c r="BD54" s="1022"/>
      <c r="BE54" s="218"/>
      <c r="BF54" s="1022"/>
      <c r="BG54" s="1022"/>
      <c r="BH54" s="1022"/>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21">
        <f>CH30</f>
        <v>5804872.8499999996</v>
      </c>
      <c r="CH54" s="218"/>
      <c r="CI54" s="218"/>
      <c r="CJ54" s="218"/>
      <c r="CK54"/>
      <c r="CL54" s="221">
        <f>CM30</f>
        <v>1022782.69</v>
      </c>
      <c r="CM54" s="218"/>
      <c r="CN54" s="218"/>
      <c r="CO54" s="218"/>
      <c r="CP54"/>
      <c r="CQ54" s="221"/>
      <c r="CR54" s="218"/>
      <c r="CS54" s="218"/>
      <c r="CT54" s="218"/>
      <c r="CU54"/>
      <c r="CV54" s="221"/>
      <c r="CW54" s="218"/>
      <c r="CX54" s="218"/>
      <c r="CY54" s="218"/>
      <c r="CZ54"/>
      <c r="DA54" s="218"/>
      <c r="DB54" s="218"/>
      <c r="DC54" s="218"/>
      <c r="DD54" s="218"/>
      <c r="DE54" s="221">
        <f>DE30</f>
        <v>14391840.32</v>
      </c>
      <c r="DF54" s="221">
        <f>DF30</f>
        <v>10929016.559999999</v>
      </c>
      <c r="DG54" s="218"/>
      <c r="DH54" s="218"/>
      <c r="DI54" s="218"/>
      <c r="DJ54" s="218"/>
      <c r="DK54" s="218"/>
      <c r="DL54" s="218"/>
      <c r="DM54" s="221">
        <f>DM30</f>
        <v>757465.28</v>
      </c>
      <c r="DN54" s="221">
        <f>DN30</f>
        <v>575211.4</v>
      </c>
      <c r="DO54" s="218"/>
      <c r="DP54" s="218"/>
      <c r="DQ54" s="218"/>
      <c r="DR54" s="218"/>
      <c r="DS54" s="218"/>
      <c r="DT54" s="218"/>
      <c r="DU54" s="221">
        <f>DU30</f>
        <v>8420481.4000000004</v>
      </c>
      <c r="DV54" s="218"/>
      <c r="DW54" s="218"/>
      <c r="DX54" s="218"/>
      <c r="DY54" s="218"/>
      <c r="DZ54" s="218"/>
      <c r="EA54" s="218"/>
      <c r="EB54" s="218"/>
      <c r="EC54" s="221">
        <f>EC30</f>
        <v>2545325</v>
      </c>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21">
        <f>FU30</f>
        <v>0</v>
      </c>
      <c r="FV54" s="218"/>
      <c r="FW54" s="218"/>
      <c r="FX54" s="221">
        <f>FX30</f>
        <v>0</v>
      </c>
      <c r="FY54" s="218"/>
      <c r="FZ54" s="218"/>
      <c r="GA54" s="221">
        <f>GA30</f>
        <v>13434866</v>
      </c>
      <c r="GB54" s="221"/>
      <c r="GC54" s="221"/>
      <c r="GD54" s="221">
        <f>GD30</f>
        <v>13012556</v>
      </c>
      <c r="GE54" s="221"/>
      <c r="GF54" s="221"/>
      <c r="GG54" s="218"/>
      <c r="GH54" s="218"/>
      <c r="GI54" s="218"/>
      <c r="GJ54" s="218"/>
      <c r="GK54" s="218"/>
      <c r="GL54" s="218"/>
      <c r="GY54" s="902">
        <f t="shared" si="475"/>
        <v>0</v>
      </c>
      <c r="GZ54" s="1013">
        <f t="shared" ref="GZ54" si="494">GZ30+HA30</f>
        <v>0</v>
      </c>
      <c r="HB54" s="902">
        <f t="shared" si="477"/>
        <v>0</v>
      </c>
      <c r="HC54" s="1013">
        <f t="shared" ref="HC54" si="495">HC30+HD30</f>
        <v>0</v>
      </c>
      <c r="HE54" s="1020">
        <f>SUM(HF54:HM54)</f>
        <v>1760060.3699999996</v>
      </c>
      <c r="HF54" s="218"/>
      <c r="HG54" s="218"/>
      <c r="HH54" s="1013">
        <f>HH30+HI30</f>
        <v>1760060.3699999996</v>
      </c>
      <c r="HI54" s="218"/>
      <c r="HJ54" s="218"/>
      <c r="HK54" s="218"/>
      <c r="HL54" s="1013">
        <f>HL30+HM30</f>
        <v>0</v>
      </c>
      <c r="HM54" s="218"/>
      <c r="HN54" s="1020">
        <f>SUM(HO54:HV54)</f>
        <v>1760060.3699999996</v>
      </c>
      <c r="HO54" s="218"/>
      <c r="HP54" s="218"/>
      <c r="HQ54" s="1013">
        <f>HQ30+HR30</f>
        <v>1760060.3699999996</v>
      </c>
      <c r="HR54" s="218"/>
      <c r="HS54" s="218"/>
      <c r="HT54" s="218"/>
      <c r="HU54" s="1013">
        <f>HU30+HV30</f>
        <v>0</v>
      </c>
      <c r="HV54" s="218"/>
      <c r="HW54" s="1020">
        <f>SUM(HX54:IE54)</f>
        <v>0</v>
      </c>
      <c r="HX54" s="218"/>
      <c r="HY54" s="218"/>
      <c r="HZ54" s="1013"/>
      <c r="IA54" s="218"/>
      <c r="IB54" s="218"/>
      <c r="IC54" s="218"/>
      <c r="ID54" s="1013"/>
      <c r="IE54" s="218"/>
      <c r="IF54" s="1020">
        <f>SUM(IG54:IN54)</f>
        <v>0</v>
      </c>
      <c r="IG54" s="218"/>
      <c r="IH54" s="218"/>
      <c r="II54" s="1013"/>
      <c r="IJ54" s="218"/>
      <c r="IK54" s="218"/>
      <c r="IL54" s="218"/>
      <c r="IM54" s="1013"/>
      <c r="IN54" s="218"/>
      <c r="IO54" s="215"/>
      <c r="IP54" s="215"/>
      <c r="IQ54" s="215"/>
      <c r="IR54" s="215"/>
      <c r="IS54" s="215"/>
      <c r="IT54" s="215"/>
      <c r="IU54" s="215"/>
      <c r="IV54" s="215"/>
      <c r="IW54" s="215"/>
      <c r="IX54" s="215"/>
      <c r="IY54" s="215"/>
      <c r="IZ54" s="215"/>
      <c r="JA54" s="215"/>
      <c r="JB54" s="215"/>
      <c r="JC54" s="215"/>
      <c r="JD54" s="215"/>
      <c r="JE54" s="215"/>
      <c r="JF54" s="215"/>
      <c r="JG54" s="215"/>
      <c r="JH54" s="215"/>
      <c r="JI54" s="215"/>
      <c r="JJ54" s="215"/>
      <c r="JK54" s="215"/>
      <c r="JL54" s="215"/>
      <c r="JM54" s="215"/>
      <c r="JN54" s="215"/>
      <c r="JO54" s="215"/>
      <c r="JP54" s="215"/>
      <c r="JQ54" s="215"/>
      <c r="JR54" s="215"/>
      <c r="JS54" s="215"/>
      <c r="JT54" s="215"/>
      <c r="JU54" s="215"/>
      <c r="JV54" s="215"/>
      <c r="JW54" s="215"/>
      <c r="JX54" s="215"/>
      <c r="JY54" s="221">
        <f>JY30</f>
        <v>217157100</v>
      </c>
      <c r="JZ54" s="221"/>
      <c r="KA54" s="221"/>
      <c r="KB54" s="221"/>
      <c r="KC54" s="221"/>
      <c r="KD54" s="221">
        <f>KD30</f>
        <v>157170015.63</v>
      </c>
      <c r="KE54" s="221"/>
      <c r="KF54"/>
      <c r="KG54"/>
      <c r="KH54"/>
      <c r="KI54"/>
      <c r="KJ54"/>
      <c r="KK54"/>
      <c r="KL54"/>
      <c r="KM54" s="218"/>
      <c r="KN54" s="218"/>
      <c r="KO54"/>
      <c r="KP54"/>
      <c r="KQ54"/>
      <c r="KR54"/>
      <c r="KS54" s="218"/>
      <c r="KT54" s="218"/>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s="218"/>
      <c r="MZ54" s="221"/>
      <c r="NA54" s="218"/>
      <c r="NB54" s="221"/>
      <c r="NC54" s="218"/>
      <c r="ND54" s="218"/>
      <c r="NE54" s="218"/>
      <c r="NF54" s="218"/>
      <c r="NG54" s="218"/>
      <c r="NH54" s="218"/>
      <c r="NI54" s="218"/>
      <c r="NJ54" s="218"/>
      <c r="NK54" s="218"/>
      <c r="NL54" s="218"/>
      <c r="NM54" s="218"/>
      <c r="NN54" s="218"/>
      <c r="NO54" s="218"/>
      <c r="NP54" s="218"/>
      <c r="NQ54" s="218"/>
      <c r="NR54" s="218"/>
      <c r="NS54" s="218"/>
      <c r="NT54" s="218"/>
      <c r="NU54" s="902">
        <f t="shared" si="479"/>
        <v>0</v>
      </c>
      <c r="NV54" s="1022">
        <f>NV30</f>
        <v>0</v>
      </c>
      <c r="NW54" s="1022">
        <f>NW30</f>
        <v>0</v>
      </c>
      <c r="NX54" s="902">
        <f t="shared" si="480"/>
        <v>0</v>
      </c>
      <c r="NY54" s="1022">
        <f>NY30</f>
        <v>0</v>
      </c>
      <c r="NZ54" s="1022">
        <f>NZ30</f>
        <v>0</v>
      </c>
      <c r="OA54" s="221"/>
      <c r="OD54" s="221"/>
      <c r="OG54" s="218"/>
      <c r="OH54" s="218"/>
      <c r="OI54" s="218"/>
      <c r="OJ54" s="218"/>
      <c r="OK54" s="218"/>
      <c r="OL54" s="218"/>
      <c r="OM54" s="218"/>
      <c r="ON54" s="218"/>
      <c r="OO54" s="218"/>
      <c r="OP54" s="218"/>
      <c r="OQ54" s="218"/>
      <c r="OR54" s="218"/>
      <c r="OS54" s="902">
        <f t="shared" si="481"/>
        <v>76435755.349999994</v>
      </c>
      <c r="OT54" s="1022">
        <f>OT30</f>
        <v>1786701.94</v>
      </c>
      <c r="OU54" s="1022">
        <f t="shared" ref="OU54:OY54" si="496">OU30</f>
        <v>4594376.42</v>
      </c>
      <c r="OV54" s="1022">
        <f>OV30</f>
        <v>0</v>
      </c>
      <c r="OW54" s="1022">
        <f>OW30</f>
        <v>0</v>
      </c>
      <c r="OX54" s="1022">
        <f t="shared" si="496"/>
        <v>28653989.030000001</v>
      </c>
      <c r="OY54" s="1022">
        <f t="shared" si="496"/>
        <v>41400687.959999993</v>
      </c>
      <c r="OZ54" s="902">
        <f t="shared" si="483"/>
        <v>24257752.93</v>
      </c>
      <c r="PA54" s="1022">
        <f>PA30</f>
        <v>0</v>
      </c>
      <c r="PB54" s="1022">
        <f t="shared" ref="PB54:PF54" si="497">PB30</f>
        <v>0</v>
      </c>
      <c r="PC54" s="1022">
        <f>PC30</f>
        <v>0</v>
      </c>
      <c r="PD54" s="1022">
        <f>PD30</f>
        <v>0</v>
      </c>
      <c r="PE54" s="1022">
        <f t="shared" si="497"/>
        <v>9432992.1300000008</v>
      </c>
      <c r="PF54" s="1022">
        <f t="shared" si="497"/>
        <v>14824760.800000001</v>
      </c>
      <c r="PG54" s="902">
        <f t="shared" si="485"/>
        <v>0</v>
      </c>
      <c r="PH54" s="1022"/>
      <c r="PI54" s="1022"/>
      <c r="PJ54" s="1022"/>
      <c r="PK54" s="1022"/>
      <c r="PL54" s="1022"/>
      <c r="PM54" s="1022"/>
      <c r="PN54" s="1022"/>
      <c r="PO54" s="1022"/>
      <c r="PP54" s="902">
        <f t="shared" si="488"/>
        <v>0</v>
      </c>
      <c r="PQ54" s="1022"/>
      <c r="PR54" s="1022"/>
      <c r="PS54" s="1022"/>
      <c r="PT54" s="1022"/>
      <c r="PU54" s="1022"/>
      <c r="PV54" s="1022"/>
      <c r="PW54" s="1022"/>
      <c r="PX54" s="1022"/>
      <c r="PY54" s="218"/>
      <c r="PZ54" s="218"/>
      <c r="QA54" s="218"/>
      <c r="QB54" s="218"/>
      <c r="QC54" s="218"/>
      <c r="QD54" s="218"/>
      <c r="QE54" s="218"/>
      <c r="QF54" s="218"/>
      <c r="QG54" s="218"/>
      <c r="QH54" s="218"/>
      <c r="QI54" s="218"/>
      <c r="QJ54" s="218"/>
      <c r="QK54" s="218"/>
      <c r="QL54" s="218"/>
      <c r="QM54" s="218"/>
      <c r="QN54" s="218"/>
      <c r="QO54" s="218"/>
      <c r="QP54" s="218"/>
      <c r="QQ54" s="218"/>
      <c r="QR54" s="218"/>
      <c r="QS54" s="218"/>
      <c r="QT54" s="218"/>
      <c r="QU54" s="218"/>
      <c r="QV54" s="218"/>
      <c r="QW54" s="218"/>
      <c r="QX54" s="218"/>
      <c r="QY54" s="218"/>
      <c r="QZ54" s="218"/>
      <c r="RA54" s="218"/>
      <c r="RB54" s="218"/>
      <c r="RC54" s="218"/>
      <c r="RD54" s="218"/>
      <c r="RE54" s="218"/>
      <c r="RF54" s="218"/>
      <c r="RG54" s="218"/>
      <c r="RH54" s="218"/>
      <c r="RI54" s="218"/>
      <c r="RJ54" s="218"/>
      <c r="RK54" s="218"/>
      <c r="RL54" s="218"/>
      <c r="RM54" s="218"/>
      <c r="RN54" s="218"/>
      <c r="RO54" s="218"/>
      <c r="RP54" s="218"/>
      <c r="RQ54" s="218"/>
      <c r="RR54" s="218"/>
      <c r="RS54" s="218"/>
      <c r="RT54" s="218"/>
      <c r="RU54" s="218"/>
      <c r="RV54" s="218"/>
      <c r="RW54" s="218"/>
      <c r="RX54" s="218"/>
      <c r="RY54" s="218"/>
      <c r="RZ54" s="218"/>
      <c r="SA54" s="218"/>
      <c r="SB54" s="218"/>
      <c r="SC54" s="218"/>
      <c r="SD54" s="218"/>
      <c r="SE54" s="218"/>
      <c r="SF54" s="218"/>
      <c r="SG54" s="218"/>
      <c r="SH54" s="218"/>
      <c r="SI54" s="218"/>
      <c r="SJ54" s="218"/>
      <c r="SK54" s="218"/>
      <c r="SL54" s="218"/>
      <c r="SM54" s="218"/>
      <c r="SN54" s="218"/>
      <c r="SO54" s="218"/>
      <c r="SP54" s="218"/>
      <c r="SQ54" s="218"/>
      <c r="SR54" s="218"/>
      <c r="SS54" s="218"/>
      <c r="ST54" s="218"/>
      <c r="SU54" s="218"/>
      <c r="SV54" s="218"/>
      <c r="SW54" s="218"/>
      <c r="SX54" s="218"/>
      <c r="SY54" s="218"/>
      <c r="SZ54" s="218"/>
      <c r="TA54" s="218"/>
      <c r="TB54" s="218"/>
      <c r="TC54" s="218"/>
      <c r="TD54" s="218"/>
      <c r="TE54" s="218"/>
      <c r="TF54" s="218"/>
      <c r="TG54" s="218"/>
      <c r="TH54" s="218"/>
      <c r="TI54" s="218"/>
      <c r="TJ54" s="218"/>
      <c r="TK54" s="218"/>
      <c r="TL54" s="218"/>
      <c r="TM54" s="218"/>
      <c r="TN54" s="218"/>
      <c r="TO54" s="218"/>
      <c r="TP54" s="218"/>
      <c r="TQ54" s="218"/>
      <c r="TR54" s="218"/>
      <c r="TS54" s="218"/>
      <c r="TT54" s="218"/>
      <c r="TU54" s="218"/>
      <c r="TV54" s="218"/>
      <c r="TW54" s="218"/>
      <c r="TX54" s="218"/>
      <c r="TY54" s="218"/>
      <c r="TZ54" s="218"/>
      <c r="UA54" s="218"/>
      <c r="UB54" s="218"/>
      <c r="UC54" s="218"/>
      <c r="UD54" s="218"/>
      <c r="UE54" s="218"/>
      <c r="UF54" s="218"/>
      <c r="UG54" s="218"/>
      <c r="UH54" s="218"/>
      <c r="UI54" s="218"/>
      <c r="UJ54" s="218"/>
      <c r="UK54" s="218"/>
      <c r="UL54" s="218"/>
      <c r="UM54" s="218"/>
      <c r="UN54" s="218"/>
      <c r="UO54" s="218"/>
      <c r="UP54" s="218"/>
      <c r="UQ54" s="218"/>
      <c r="UR54" s="218"/>
      <c r="US54" s="218"/>
      <c r="UT54" s="218"/>
      <c r="UU54" s="218"/>
      <c r="UV54" s="218"/>
      <c r="UW54" s="218"/>
      <c r="UX54" s="218"/>
      <c r="UY54" s="218"/>
      <c r="UZ54" s="218"/>
      <c r="VA54" s="218"/>
      <c r="VB54" s="218"/>
      <c r="VC54" s="218"/>
      <c r="VD54" s="218"/>
      <c r="VE54" s="218"/>
      <c r="VF54" s="218"/>
      <c r="VG54" s="218"/>
      <c r="VH54" s="218"/>
      <c r="VI54" s="218"/>
      <c r="VJ54" s="218"/>
      <c r="VK54" s="218"/>
      <c r="VL54" s="218"/>
      <c r="VM54" s="218"/>
      <c r="VN54" s="218"/>
      <c r="VO54" s="218"/>
      <c r="VP54" s="218"/>
      <c r="VQ54" s="218"/>
      <c r="VR54" s="218"/>
      <c r="VS54" s="218"/>
      <c r="VT54" s="218"/>
      <c r="VU54" s="218"/>
      <c r="VV54" s="218"/>
      <c r="VW54" s="218"/>
      <c r="VX54" s="218"/>
      <c r="VY54" s="218"/>
      <c r="VZ54" s="218"/>
      <c r="WA54" s="218"/>
      <c r="WB54" s="218"/>
      <c r="WC54" s="218"/>
      <c r="WD54" s="218"/>
      <c r="WE54" s="218"/>
      <c r="WF54" s="218"/>
      <c r="WG54" s="218"/>
      <c r="WH54" s="218"/>
    </row>
    <row r="55" spans="1:606" s="1019" customFormat="1" x14ac:dyDescent="0.3">
      <c r="A55" s="1280" t="s">
        <v>146</v>
      </c>
      <c r="B55" s="1015">
        <f>NU55+OA55+DE55+DM55+DU55+FU55+GA55+HE55+HW55+'Проверочная  таблица'!JY55+'Прочая  субсидия_МР  и  ГО'!B44+CG55+CQ55+OS55+AW55+AK55+GY55</f>
        <v>1548683120.4100001</v>
      </c>
      <c r="C55" s="1015">
        <f>NX55+OD55+DF55+DN55+EC55+FX55+GD55+HN55+IF55+'Проверочная  таблица'!KD55+'Прочая  субсидия_МР  и  ГО'!C44+CL55+CV55+OZ55+AQ55+BC55+HB55</f>
        <v>888291557.82999992</v>
      </c>
      <c r="D55" s="1193">
        <f t="shared" si="490"/>
        <v>1548683.12041</v>
      </c>
      <c r="E55" s="1193">
        <f t="shared" si="490"/>
        <v>888291.55782999995</v>
      </c>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902">
        <f t="shared" si="465"/>
        <v>0</v>
      </c>
      <c r="AL55" s="1022">
        <f>AL34</f>
        <v>0</v>
      </c>
      <c r="AM55" s="218"/>
      <c r="AN55" s="218"/>
      <c r="AO55" s="1022">
        <f t="shared" ref="AO55:AP55" si="498">AO34</f>
        <v>0</v>
      </c>
      <c r="AP55" s="1022">
        <f t="shared" si="498"/>
        <v>0</v>
      </c>
      <c r="AQ55" s="902">
        <f t="shared" si="467"/>
        <v>0</v>
      </c>
      <c r="AR55" s="1022">
        <f>AR34</f>
        <v>0</v>
      </c>
      <c r="AS55" s="218"/>
      <c r="AT55" s="218"/>
      <c r="AU55" s="1022">
        <f t="shared" ref="AU55" si="499">AU34</f>
        <v>0</v>
      </c>
      <c r="AV55" s="1022">
        <f t="shared" ref="AV55" si="500">AV34</f>
        <v>0</v>
      </c>
      <c r="AW55" s="902">
        <f t="shared" si="470"/>
        <v>0</v>
      </c>
      <c r="AX55" s="1022"/>
      <c r="AY55" s="218"/>
      <c r="AZ55" s="1022"/>
      <c r="BA55" s="1022"/>
      <c r="BB55" s="1022"/>
      <c r="BC55" s="902">
        <f t="shared" si="473"/>
        <v>0</v>
      </c>
      <c r="BD55" s="1022"/>
      <c r="BE55" s="218"/>
      <c r="BF55" s="1022"/>
      <c r="BG55" s="1022"/>
      <c r="BH55" s="1022"/>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21">
        <f>CH34</f>
        <v>323888000</v>
      </c>
      <c r="CH55" s="218"/>
      <c r="CI55" s="218"/>
      <c r="CJ55" s="218"/>
      <c r="CK55" s="215"/>
      <c r="CL55" s="221">
        <f>CM34</f>
        <v>27924918.539999999</v>
      </c>
      <c r="CM55" s="218"/>
      <c r="CN55" s="218"/>
      <c r="CO55" s="218"/>
      <c r="CP55" s="215"/>
      <c r="CQ55" s="221"/>
      <c r="CR55" s="218"/>
      <c r="CS55" s="218"/>
      <c r="CT55" s="218"/>
      <c r="CU55" s="215"/>
      <c r="CV55" s="221"/>
      <c r="CW55" s="218"/>
      <c r="CX55" s="218"/>
      <c r="CY55" s="218"/>
      <c r="CZ55" s="215"/>
      <c r="DA55" s="218"/>
      <c r="DB55" s="218"/>
      <c r="DC55" s="218"/>
      <c r="DD55" s="218"/>
      <c r="DE55" s="221">
        <f>DE34</f>
        <v>261037664.93000001</v>
      </c>
      <c r="DF55" s="221">
        <f>DF34</f>
        <v>78311299.480000004</v>
      </c>
      <c r="DG55" s="218"/>
      <c r="DH55" s="218"/>
      <c r="DI55" s="218"/>
      <c r="DJ55" s="218"/>
      <c r="DK55" s="218"/>
      <c r="DL55" s="218"/>
      <c r="DM55" s="221">
        <f>DM34</f>
        <v>13738824.470000001</v>
      </c>
      <c r="DN55" s="221">
        <f>DN34</f>
        <v>4121647.34</v>
      </c>
      <c r="DO55" s="218"/>
      <c r="DP55" s="218"/>
      <c r="DQ55" s="218"/>
      <c r="DR55" s="218"/>
      <c r="DS55" s="218"/>
      <c r="DT55" s="218"/>
      <c r="DU55" s="221">
        <f>DU34</f>
        <v>6519971.7999999998</v>
      </c>
      <c r="DV55" s="218"/>
      <c r="DW55" s="218"/>
      <c r="DX55" s="218"/>
      <c r="DY55" s="218"/>
      <c r="DZ55" s="218"/>
      <c r="EA55" s="218"/>
      <c r="EB55" s="218"/>
      <c r="EC55" s="221">
        <f>EC34</f>
        <v>2229622.16</v>
      </c>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21">
        <f>FU34</f>
        <v>6082100</v>
      </c>
      <c r="FV55" s="218"/>
      <c r="FW55" s="218"/>
      <c r="FX55" s="221">
        <f>FX34</f>
        <v>5329484.1100000003</v>
      </c>
      <c r="FY55" s="218"/>
      <c r="FZ55" s="218"/>
      <c r="GA55" s="221">
        <f>GA34</f>
        <v>0</v>
      </c>
      <c r="GB55" s="221"/>
      <c r="GC55" s="221"/>
      <c r="GD55" s="221">
        <f>GD34</f>
        <v>0</v>
      </c>
      <c r="GE55" s="221"/>
      <c r="GF55" s="221"/>
      <c r="GG55" s="218"/>
      <c r="GH55" s="218"/>
      <c r="GI55" s="218"/>
      <c r="GJ55" s="218"/>
      <c r="GK55" s="218"/>
      <c r="GL55" s="218"/>
      <c r="GY55" s="902">
        <f t="shared" si="475"/>
        <v>0</v>
      </c>
      <c r="GZ55" s="1013">
        <f t="shared" ref="GZ55" si="501">GZ34+HA34</f>
        <v>0</v>
      </c>
      <c r="HB55" s="902">
        <f t="shared" si="477"/>
        <v>0</v>
      </c>
      <c r="HC55" s="1013">
        <f t="shared" ref="HC55" si="502">HC34+HD34</f>
        <v>0</v>
      </c>
      <c r="HE55" s="1020">
        <f>SUM(HF55:HM55)</f>
        <v>1465371.4000000001</v>
      </c>
      <c r="HF55" s="218"/>
      <c r="HG55" s="218"/>
      <c r="HH55" s="1013">
        <f>HH34+HI34</f>
        <v>1465371.4000000001</v>
      </c>
      <c r="HI55" s="218"/>
      <c r="HJ55" s="218"/>
      <c r="HK55" s="218"/>
      <c r="HL55" s="1013">
        <f>HL34+HM34</f>
        <v>0</v>
      </c>
      <c r="HM55" s="218"/>
      <c r="HN55" s="1020">
        <f>SUM(HO55:HV55)</f>
        <v>1465371.4000000001</v>
      </c>
      <c r="HO55" s="218"/>
      <c r="HP55" s="218"/>
      <c r="HQ55" s="1013">
        <f>HQ34+HR34</f>
        <v>1465371.4000000001</v>
      </c>
      <c r="HR55" s="218"/>
      <c r="HS55" s="218"/>
      <c r="HT55" s="218"/>
      <c r="HU55" s="1013">
        <f>HU34+HV34</f>
        <v>0</v>
      </c>
      <c r="HV55" s="218"/>
      <c r="HW55" s="1020">
        <f>SUM(HX55:IE55)</f>
        <v>0</v>
      </c>
      <c r="HX55" s="218"/>
      <c r="HY55" s="218"/>
      <c r="HZ55" s="1013"/>
      <c r="IA55" s="218"/>
      <c r="IB55" s="218"/>
      <c r="IC55" s="218"/>
      <c r="ID55" s="1013"/>
      <c r="IE55" s="218"/>
      <c r="IF55" s="1020">
        <f>SUM(IG55:IN55)</f>
        <v>0</v>
      </c>
      <c r="IG55" s="218"/>
      <c r="IH55" s="218"/>
      <c r="II55" s="1013"/>
      <c r="IJ55" s="218"/>
      <c r="IK55" s="218"/>
      <c r="IL55" s="218"/>
      <c r="IM55" s="1013"/>
      <c r="IN55" s="218"/>
      <c r="IO55" s="215"/>
      <c r="IP55" s="215"/>
      <c r="IQ55" s="215"/>
      <c r="IR55" s="215"/>
      <c r="IS55" s="215"/>
      <c r="IT55" s="215"/>
      <c r="IU55" s="215"/>
      <c r="IV55" s="215"/>
      <c r="IW55" s="215"/>
      <c r="IX55" s="215"/>
      <c r="IY55" s="215"/>
      <c r="IZ55" s="215"/>
      <c r="JA55" s="215"/>
      <c r="JB55" s="215"/>
      <c r="JC55" s="215"/>
      <c r="JD55" s="215"/>
      <c r="JE55" s="215"/>
      <c r="JF55" s="215"/>
      <c r="JG55" s="215"/>
      <c r="JH55" s="215"/>
      <c r="JI55" s="215"/>
      <c r="JJ55" s="215"/>
      <c r="JK55" s="215"/>
      <c r="JL55" s="215"/>
      <c r="JM55" s="215"/>
      <c r="JN55" s="215"/>
      <c r="JO55" s="215"/>
      <c r="JP55" s="215"/>
      <c r="JQ55" s="215"/>
      <c r="JR55" s="215"/>
      <c r="JS55" s="215"/>
      <c r="JT55" s="215"/>
      <c r="JU55" s="215"/>
      <c r="JV55" s="215"/>
      <c r="JW55" s="215"/>
      <c r="JX55" s="215"/>
      <c r="JY55" s="235">
        <f>JY34</f>
        <v>233947767.69999999</v>
      </c>
      <c r="JZ55" s="235"/>
      <c r="KA55" s="235"/>
      <c r="KB55" s="235"/>
      <c r="KC55" s="235"/>
      <c r="KD55" s="235">
        <f>KD34</f>
        <v>78017609.939999998</v>
      </c>
      <c r="KE55" s="235"/>
      <c r="KF55" s="215"/>
      <c r="KG55" s="1178"/>
      <c r="KH55" s="1190"/>
      <c r="KI55" s="215"/>
      <c r="KJ55" s="215"/>
      <c r="KK55" s="1190"/>
      <c r="KL55" s="1190"/>
      <c r="KM55" s="218"/>
      <c r="KN55" s="218"/>
      <c r="KO55" s="215"/>
      <c r="KP55" s="215"/>
      <c r="KQ55" s="1190"/>
      <c r="KR55" s="1190"/>
      <c r="KS55" s="218"/>
      <c r="KT55" s="218"/>
      <c r="KU55" s="215"/>
      <c r="KV55" s="215"/>
      <c r="KW55" s="215"/>
      <c r="KX55" s="215"/>
      <c r="KY55" s="215"/>
      <c r="KZ55" s="215"/>
      <c r="LA55" s="215"/>
      <c r="LB55" s="215"/>
      <c r="LC55" s="215"/>
      <c r="LD55" s="215"/>
      <c r="LE55" s="215"/>
      <c r="LF55" s="21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s="218"/>
      <c r="MZ55" s="221"/>
      <c r="NA55" s="218"/>
      <c r="NB55" s="221"/>
      <c r="NC55" s="218"/>
      <c r="ND55" s="218"/>
      <c r="NE55" s="218"/>
      <c r="NF55" s="218"/>
      <c r="NG55" s="218"/>
      <c r="NH55" s="218"/>
      <c r="NI55" s="218"/>
      <c r="NJ55" s="218"/>
      <c r="NK55" s="218"/>
      <c r="NL55" s="218"/>
      <c r="NM55" s="218"/>
      <c r="NN55" s="218"/>
      <c r="NO55" s="218"/>
      <c r="NP55" s="218"/>
      <c r="NQ55" s="218"/>
      <c r="NR55" s="218"/>
      <c r="NS55" s="218"/>
      <c r="NT55" s="218"/>
      <c r="NU55" s="902">
        <f t="shared" si="479"/>
        <v>0</v>
      </c>
      <c r="NV55" s="1022">
        <f>NV34</f>
        <v>0</v>
      </c>
      <c r="NW55" s="1022">
        <f>NW34</f>
        <v>0</v>
      </c>
      <c r="NX55" s="902">
        <f t="shared" si="480"/>
        <v>0</v>
      </c>
      <c r="NY55" s="1022">
        <f>NY34</f>
        <v>0</v>
      </c>
      <c r="NZ55" s="1022">
        <f>NZ34</f>
        <v>0</v>
      </c>
      <c r="OA55" s="221"/>
      <c r="OD55" s="221"/>
      <c r="OG55" s="218"/>
      <c r="OH55" s="218"/>
      <c r="OI55" s="218"/>
      <c r="OJ55" s="218"/>
      <c r="OK55" s="218"/>
      <c r="OL55" s="218"/>
      <c r="OM55" s="218"/>
      <c r="ON55" s="218"/>
      <c r="OO55" s="218"/>
      <c r="OP55" s="218"/>
      <c r="OQ55" s="218"/>
      <c r="OR55" s="218"/>
      <c r="OS55" s="902">
        <f t="shared" si="481"/>
        <v>0</v>
      </c>
      <c r="OT55" s="1022">
        <f>OT34</f>
        <v>0</v>
      </c>
      <c r="OU55" s="1022">
        <f t="shared" ref="OU55:OY55" si="503">OU34</f>
        <v>0</v>
      </c>
      <c r="OV55" s="1022">
        <f>OV34</f>
        <v>0</v>
      </c>
      <c r="OW55" s="1022">
        <f>OW34</f>
        <v>0</v>
      </c>
      <c r="OX55" s="1022">
        <f t="shared" si="503"/>
        <v>0</v>
      </c>
      <c r="OY55" s="1022">
        <f t="shared" si="503"/>
        <v>0</v>
      </c>
      <c r="OZ55" s="902">
        <f t="shared" si="483"/>
        <v>0</v>
      </c>
      <c r="PA55" s="1022">
        <f>PA34</f>
        <v>0</v>
      </c>
      <c r="PB55" s="1022">
        <f t="shared" ref="PB55:PF55" si="504">PB34</f>
        <v>0</v>
      </c>
      <c r="PC55" s="1022">
        <f>PC34</f>
        <v>0</v>
      </c>
      <c r="PD55" s="1022">
        <f>PD34</f>
        <v>0</v>
      </c>
      <c r="PE55" s="1022">
        <f t="shared" si="504"/>
        <v>0</v>
      </c>
      <c r="PF55" s="1022">
        <f t="shared" si="504"/>
        <v>0</v>
      </c>
      <c r="PG55" s="902">
        <f t="shared" si="485"/>
        <v>47263275.420000002</v>
      </c>
      <c r="PH55" s="1022"/>
      <c r="PI55" s="1022"/>
      <c r="PJ55" s="1022"/>
      <c r="PK55" s="1022"/>
      <c r="PL55" s="1022"/>
      <c r="PM55" s="1022"/>
      <c r="PN55" s="1022"/>
      <c r="PO55" s="1022"/>
      <c r="PP55" s="902">
        <f t="shared" si="488"/>
        <v>38172943.210000001</v>
      </c>
      <c r="PQ55" s="1022"/>
      <c r="PR55" s="1022"/>
      <c r="PS55" s="1022"/>
      <c r="PT55" s="1022"/>
      <c r="PU55" s="1022"/>
      <c r="PV55" s="1022"/>
      <c r="PW55" s="1022"/>
      <c r="PX55" s="1022"/>
      <c r="PY55" s="218"/>
      <c r="PZ55" s="218"/>
      <c r="QA55" s="218"/>
      <c r="QB55" s="218"/>
      <c r="QC55" s="218"/>
      <c r="QD55" s="218"/>
      <c r="QE55" s="218"/>
      <c r="QF55" s="218"/>
      <c r="QG55" s="218"/>
      <c r="QH55" s="218"/>
      <c r="QI55" s="218"/>
      <c r="QJ55" s="218"/>
      <c r="QK55" s="218"/>
      <c r="QL55" s="218"/>
      <c r="QM55" s="218"/>
      <c r="QN55" s="218"/>
      <c r="QO55" s="218"/>
      <c r="QP55" s="218"/>
      <c r="QQ55" s="218"/>
      <c r="QR55" s="218"/>
      <c r="QS55" s="218"/>
      <c r="QT55" s="218"/>
      <c r="QU55" s="218"/>
      <c r="QV55" s="218"/>
      <c r="QW55" s="218"/>
      <c r="QX55" s="218"/>
      <c r="QY55" s="218"/>
      <c r="QZ55" s="218"/>
      <c r="RA55" s="218"/>
      <c r="RB55" s="218"/>
      <c r="RC55" s="218"/>
      <c r="RD55" s="218"/>
      <c r="RE55" s="218"/>
      <c r="RF55" s="218"/>
      <c r="RG55" s="218"/>
      <c r="RH55" s="218"/>
      <c r="RI55" s="218"/>
      <c r="RJ55" s="218"/>
      <c r="RK55" s="218"/>
      <c r="RL55" s="218"/>
      <c r="RM55" s="218"/>
      <c r="RN55" s="218"/>
      <c r="RO55" s="218"/>
      <c r="RP55" s="218"/>
      <c r="RQ55" s="218"/>
      <c r="RR55" s="218"/>
      <c r="RS55" s="218"/>
      <c r="RT55" s="218"/>
      <c r="RU55" s="218"/>
      <c r="RV55" s="218"/>
      <c r="RW55" s="218"/>
      <c r="RX55" s="218"/>
      <c r="RY55" s="218"/>
      <c r="RZ55" s="218"/>
      <c r="SA55" s="218"/>
      <c r="SB55" s="218"/>
      <c r="SC55" s="218"/>
      <c r="SD55" s="218"/>
      <c r="SE55" s="218"/>
      <c r="SF55" s="218"/>
      <c r="SG55" s="218"/>
      <c r="SH55" s="218"/>
      <c r="SI55" s="218"/>
      <c r="SJ55" s="218"/>
      <c r="SK55" s="218"/>
      <c r="SL55" s="218"/>
      <c r="SM55" s="218"/>
      <c r="SN55" s="218"/>
      <c r="SO55" s="218"/>
      <c r="SP55" s="218"/>
      <c r="SQ55" s="218"/>
      <c r="SR55" s="218"/>
      <c r="SS55" s="218"/>
      <c r="ST55" s="218"/>
      <c r="SU55" s="218"/>
      <c r="SV55" s="218"/>
      <c r="SW55" s="218"/>
      <c r="SX55" s="218"/>
      <c r="SY55" s="218"/>
      <c r="SZ55" s="218"/>
      <c r="TA55" s="218"/>
      <c r="TB55" s="218"/>
      <c r="TC55" s="218"/>
      <c r="TD55" s="218"/>
      <c r="TE55" s="218"/>
      <c r="TF55" s="218"/>
      <c r="TG55" s="218"/>
      <c r="TH55" s="218"/>
      <c r="TI55" s="218"/>
      <c r="TJ55" s="218"/>
      <c r="TK55" s="218"/>
      <c r="TL55" s="218"/>
      <c r="TM55" s="218"/>
      <c r="TN55" s="218"/>
      <c r="TO55" s="218"/>
      <c r="TP55" s="218"/>
      <c r="TQ55" s="218"/>
      <c r="TR55" s="218"/>
      <c r="TS55" s="218"/>
      <c r="TT55" s="218"/>
      <c r="TU55" s="218"/>
      <c r="TV55" s="218"/>
      <c r="TW55" s="218"/>
      <c r="TX55" s="218"/>
      <c r="TY55" s="218"/>
      <c r="TZ55" s="218"/>
      <c r="UA55" s="218"/>
      <c r="UB55" s="218"/>
      <c r="UC55" s="218"/>
      <c r="UD55" s="218"/>
      <c r="UE55" s="218"/>
      <c r="UF55" s="218"/>
      <c r="UG55" s="218"/>
      <c r="UH55" s="218"/>
      <c r="UI55" s="218"/>
      <c r="UJ55" s="218"/>
      <c r="UK55" s="218"/>
      <c r="UL55" s="218"/>
      <c r="UM55" s="218"/>
      <c r="UN55" s="218"/>
      <c r="UO55" s="218"/>
      <c r="UP55" s="218"/>
      <c r="UQ55" s="218"/>
      <c r="UR55" s="218"/>
      <c r="US55" s="218"/>
      <c r="UT55" s="218"/>
      <c r="UU55" s="218"/>
      <c r="UV55" s="218"/>
      <c r="UW55" s="218"/>
      <c r="UX55" s="218"/>
      <c r="UY55" s="218"/>
      <c r="UZ55" s="218"/>
      <c r="VA55" s="218"/>
      <c r="VB55" s="218"/>
      <c r="VC55" s="218"/>
      <c r="VD55" s="218"/>
      <c r="VE55" s="218"/>
      <c r="VF55" s="218"/>
      <c r="VG55" s="218"/>
      <c r="VH55" s="218"/>
      <c r="VI55" s="218"/>
      <c r="VJ55" s="218"/>
      <c r="VK55" s="218"/>
      <c r="VL55" s="218"/>
      <c r="VM55" s="218"/>
      <c r="VN55" s="218"/>
      <c r="VO55" s="218"/>
      <c r="VP55" s="218"/>
      <c r="VQ55" s="218"/>
      <c r="VR55" s="218"/>
      <c r="VS55" s="218"/>
      <c r="VT55" s="218"/>
      <c r="VU55" s="218"/>
      <c r="VV55" s="218"/>
      <c r="VW55" s="218"/>
      <c r="VX55" s="218"/>
      <c r="VY55" s="218"/>
      <c r="VZ55" s="218"/>
      <c r="WA55" s="218"/>
      <c r="WB55" s="218"/>
      <c r="WC55" s="218"/>
      <c r="WD55" s="218"/>
      <c r="WE55" s="218"/>
      <c r="WF55" s="218"/>
      <c r="WG55" s="218"/>
      <c r="WH55" s="218"/>
    </row>
    <row r="56" spans="1:606" s="1019" customFormat="1" x14ac:dyDescent="0.3">
      <c r="A56" s="1280" t="s">
        <v>147</v>
      </c>
      <c r="B56" s="1015">
        <f>NU56+OA56+DE56+DM56+DU56+FU56+GA56+HE56+HW56+'Проверочная  таблица'!JY56+'Прочая  субсидия_МР  и  ГО'!B45+CG56+CQ56+PG56+AK56+AW56+GY56</f>
        <v>232086332.88</v>
      </c>
      <c r="C56" s="1015">
        <f>NX56+OD56+DF56+DN56+EC56+FX56+GD56+HN56+IF56+'Проверочная  таблица'!KD56+'Прочая  субсидия_МР  и  ГО'!C45+CL56+CV56+PP56+BC56+AQ56+HB56</f>
        <v>113947240.40000001</v>
      </c>
      <c r="D56" s="1193">
        <f t="shared" si="490"/>
        <v>232086.33288</v>
      </c>
      <c r="E56" s="1193">
        <f t="shared" si="490"/>
        <v>113947.24040000001</v>
      </c>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902">
        <f t="shared" si="465"/>
        <v>0</v>
      </c>
      <c r="AL56" s="1022"/>
      <c r="AM56" s="218"/>
      <c r="AN56" s="218"/>
      <c r="AO56" s="1022"/>
      <c r="AP56" s="1022"/>
      <c r="AQ56" s="902">
        <f t="shared" si="467"/>
        <v>0</v>
      </c>
      <c r="AR56" s="1022"/>
      <c r="AS56" s="218"/>
      <c r="AT56" s="218"/>
      <c r="AU56" s="1022"/>
      <c r="AV56" s="1022"/>
      <c r="AW56" s="902">
        <f t="shared" si="470"/>
        <v>90385736.450000003</v>
      </c>
      <c r="AX56" s="1022">
        <f>AX37</f>
        <v>88386939.620000005</v>
      </c>
      <c r="AY56" s="218"/>
      <c r="AZ56" s="1022"/>
      <c r="BA56" s="1022">
        <f t="shared" ref="BA56" si="505">BA37</f>
        <v>0</v>
      </c>
      <c r="BB56" s="1022">
        <f t="shared" ref="BB56" si="506">BB37</f>
        <v>1998796.83</v>
      </c>
      <c r="BC56" s="902">
        <f t="shared" si="473"/>
        <v>22763727.43</v>
      </c>
      <c r="BD56" s="1022">
        <f>BD37</f>
        <v>22763727.43</v>
      </c>
      <c r="BE56" s="218"/>
      <c r="BF56" s="1022"/>
      <c r="BG56" s="1022">
        <f t="shared" ref="BG56:BH56" si="507">BG37</f>
        <v>0</v>
      </c>
      <c r="BH56" s="1022">
        <f t="shared" si="507"/>
        <v>0</v>
      </c>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21"/>
      <c r="CH56" s="218"/>
      <c r="CI56" s="218"/>
      <c r="CJ56" s="218"/>
      <c r="CK56" s="215"/>
      <c r="CL56" s="221"/>
      <c r="CM56" s="218"/>
      <c r="CN56" s="218"/>
      <c r="CO56" s="218"/>
      <c r="CP56" s="215"/>
      <c r="CQ56" s="221">
        <f>CR37</f>
        <v>15459000</v>
      </c>
      <c r="CR56" s="218"/>
      <c r="CS56" s="218"/>
      <c r="CT56" s="218"/>
      <c r="CU56" s="215"/>
      <c r="CV56" s="221">
        <f>CW37</f>
        <v>0</v>
      </c>
      <c r="CW56" s="218"/>
      <c r="CX56" s="218"/>
      <c r="CY56" s="218"/>
      <c r="CZ56" s="215"/>
      <c r="DA56" s="218"/>
      <c r="DB56" s="218"/>
      <c r="DC56" s="218"/>
      <c r="DD56" s="218"/>
      <c r="DE56" s="221">
        <f>DG37</f>
        <v>50673367.840000004</v>
      </c>
      <c r="DF56" s="221">
        <f>DH37</f>
        <v>25988724.43</v>
      </c>
      <c r="DG56" s="218"/>
      <c r="DH56" s="218"/>
      <c r="DI56" s="218"/>
      <c r="DJ56" s="218"/>
      <c r="DK56" s="218"/>
      <c r="DL56" s="218"/>
      <c r="DM56" s="221">
        <f>DO37</f>
        <v>2667019.3600000003</v>
      </c>
      <c r="DN56" s="221">
        <f>DP37</f>
        <v>1367827.6099999999</v>
      </c>
      <c r="DO56" s="218"/>
      <c r="DP56" s="218"/>
      <c r="DQ56" s="218"/>
      <c r="DR56" s="218"/>
      <c r="DS56" s="218"/>
      <c r="DT56" s="218"/>
      <c r="DU56" s="221"/>
      <c r="DV56" s="218"/>
      <c r="DW56" s="218"/>
      <c r="DX56" s="218"/>
      <c r="DY56" s="218"/>
      <c r="DZ56" s="218"/>
      <c r="EA56" s="218"/>
      <c r="EB56" s="218"/>
      <c r="EC56" s="221"/>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21"/>
      <c r="FV56" s="218"/>
      <c r="FW56" s="218"/>
      <c r="FX56" s="221"/>
      <c r="FY56" s="218"/>
      <c r="FZ56" s="218"/>
      <c r="GA56" s="221">
        <f>'Проверочная  таблица'!GG37</f>
        <v>12743934</v>
      </c>
      <c r="GB56" s="221"/>
      <c r="GC56" s="221"/>
      <c r="GD56" s="221">
        <f>'Проверочная  таблица'!GJ37</f>
        <v>11901339.42</v>
      </c>
      <c r="GE56" s="221"/>
      <c r="GF56" s="221"/>
      <c r="GG56" s="218"/>
      <c r="GH56" s="218"/>
      <c r="GI56" s="218"/>
      <c r="GJ56" s="218"/>
      <c r="GK56" s="218"/>
      <c r="GL56" s="218"/>
      <c r="GY56" s="902">
        <f t="shared" si="475"/>
        <v>0</v>
      </c>
      <c r="GZ56" s="1013"/>
      <c r="HB56" s="902">
        <f t="shared" si="477"/>
        <v>0</v>
      </c>
      <c r="HC56" s="1013"/>
      <c r="HE56" s="1020">
        <f>SUM(HF56:HM56)</f>
        <v>0</v>
      </c>
      <c r="HF56" s="218"/>
      <c r="HG56" s="218"/>
      <c r="HH56" s="1013"/>
      <c r="HI56" s="218"/>
      <c r="HJ56" s="218"/>
      <c r="HK56" s="218"/>
      <c r="HL56" s="1013"/>
      <c r="HM56" s="218"/>
      <c r="HN56" s="1020">
        <f>SUM(HO56:HV56)</f>
        <v>0</v>
      </c>
      <c r="HO56" s="218"/>
      <c r="HP56" s="218"/>
      <c r="HQ56" s="1013"/>
      <c r="HR56" s="218"/>
      <c r="HS56" s="218"/>
      <c r="HT56" s="218"/>
      <c r="HU56" s="1013"/>
      <c r="HV56" s="218"/>
      <c r="HW56" s="1020">
        <f>SUM(HX56:IE56)</f>
        <v>117068.23000000001</v>
      </c>
      <c r="HX56" s="218"/>
      <c r="HY56" s="218"/>
      <c r="HZ56" s="1013">
        <f>HZ37+IA37</f>
        <v>117068.23000000001</v>
      </c>
      <c r="IA56" s="218"/>
      <c r="IB56" s="218"/>
      <c r="IC56" s="218"/>
      <c r="ID56" s="1013">
        <f>ID37+IE37</f>
        <v>0</v>
      </c>
      <c r="IE56" s="218"/>
      <c r="IF56" s="1020">
        <f>SUM(IG56:IN56)</f>
        <v>117068.23000000001</v>
      </c>
      <c r="IG56" s="218"/>
      <c r="IH56" s="218"/>
      <c r="II56" s="1013">
        <f>II37+IJ37</f>
        <v>117068.23000000001</v>
      </c>
      <c r="IJ56" s="218"/>
      <c r="IK56" s="218"/>
      <c r="IL56" s="218"/>
      <c r="IM56" s="1013">
        <f>IM37+IN37</f>
        <v>0</v>
      </c>
      <c r="IN56" s="218"/>
      <c r="IO56" s="215"/>
      <c r="IP56" s="215"/>
      <c r="IQ56" s="215"/>
      <c r="IR56" s="215"/>
      <c r="IS56" s="215"/>
      <c r="IT56" s="215"/>
      <c r="IU56" s="215"/>
      <c r="IV56" s="215"/>
      <c r="IW56" s="215"/>
      <c r="IX56" s="215"/>
      <c r="IY56" s="215"/>
      <c r="IZ56" s="215"/>
      <c r="JA56" s="215"/>
      <c r="JB56" s="215"/>
      <c r="JC56" s="215"/>
      <c r="JD56" s="215"/>
      <c r="JE56" s="215"/>
      <c r="JF56" s="215"/>
      <c r="JG56" s="215"/>
      <c r="JH56" s="215"/>
      <c r="JI56" s="215"/>
      <c r="JJ56" s="215"/>
      <c r="JK56" s="215"/>
      <c r="JL56" s="215"/>
      <c r="JM56" s="215"/>
      <c r="JN56" s="215"/>
      <c r="JO56" s="215"/>
      <c r="JP56" s="215"/>
      <c r="JQ56" s="215"/>
      <c r="JR56" s="215"/>
      <c r="JS56" s="215"/>
      <c r="JT56" s="215"/>
      <c r="JU56" s="215"/>
      <c r="JV56" s="215"/>
      <c r="JW56" s="215"/>
      <c r="JX56" s="215"/>
      <c r="JY56" s="235"/>
      <c r="JZ56" s="235"/>
      <c r="KA56" s="235"/>
      <c r="KB56" s="235"/>
      <c r="KC56" s="235"/>
      <c r="KD56" s="235"/>
      <c r="KE56" s="235"/>
      <c r="KF56" s="215"/>
      <c r="KG56" s="1178"/>
      <c r="KH56" s="1190"/>
      <c r="KI56" s="215"/>
      <c r="KJ56" s="215"/>
      <c r="KK56" s="1190"/>
      <c r="KL56" s="1190"/>
      <c r="KM56" s="218"/>
      <c r="KN56" s="218"/>
      <c r="KO56" s="215"/>
      <c r="KP56" s="215"/>
      <c r="KQ56" s="1190"/>
      <c r="KR56" s="1190"/>
      <c r="KS56" s="218"/>
      <c r="KT56" s="218"/>
      <c r="KU56" s="215"/>
      <c r="KV56" s="215"/>
      <c r="KW56" s="215"/>
      <c r="KX56" s="215"/>
      <c r="KY56" s="215"/>
      <c r="KZ56" s="215"/>
      <c r="LA56" s="215"/>
      <c r="LB56" s="215"/>
      <c r="LC56" s="215"/>
      <c r="LD56" s="215"/>
      <c r="LE56" s="215"/>
      <c r="LF56" s="215"/>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s="218"/>
      <c r="MZ56" s="221"/>
      <c r="NA56" s="218"/>
      <c r="NB56" s="221"/>
      <c r="NC56" s="218"/>
      <c r="ND56" s="218"/>
      <c r="NE56" s="218"/>
      <c r="NF56" s="218"/>
      <c r="NG56" s="218"/>
      <c r="NH56" s="218"/>
      <c r="NI56" s="218"/>
      <c r="NJ56" s="218"/>
      <c r="NK56" s="218"/>
      <c r="NL56" s="218"/>
      <c r="NM56" s="218"/>
      <c r="NN56" s="218"/>
      <c r="NO56" s="218"/>
      <c r="NP56" s="218"/>
      <c r="NQ56" s="218"/>
      <c r="NR56" s="218"/>
      <c r="NS56" s="218"/>
      <c r="NT56" s="218"/>
      <c r="NU56" s="902">
        <f t="shared" si="479"/>
        <v>0</v>
      </c>
      <c r="NV56" s="1022"/>
      <c r="NW56" s="1022"/>
      <c r="NX56" s="902">
        <f t="shared" si="480"/>
        <v>0</v>
      </c>
      <c r="NY56" s="1022"/>
      <c r="NZ56" s="1022"/>
      <c r="OA56" s="221"/>
      <c r="OD56" s="221"/>
      <c r="OG56" s="218"/>
      <c r="OH56" s="218"/>
      <c r="OI56" s="218"/>
      <c r="OJ56" s="218"/>
      <c r="OK56" s="218"/>
      <c r="OL56" s="218"/>
      <c r="OM56" s="218"/>
      <c r="ON56" s="218"/>
      <c r="OO56" s="218"/>
      <c r="OP56" s="218"/>
      <c r="OQ56" s="218"/>
      <c r="OR56" s="218"/>
      <c r="OS56" s="902">
        <f t="shared" si="481"/>
        <v>0</v>
      </c>
      <c r="OT56" s="1022"/>
      <c r="OU56" s="1022"/>
      <c r="OV56" s="1022"/>
      <c r="OW56" s="1022"/>
      <c r="OX56" s="1022"/>
      <c r="OY56" s="1022"/>
      <c r="OZ56" s="902">
        <f t="shared" si="483"/>
        <v>0</v>
      </c>
      <c r="PA56" s="1022"/>
      <c r="PB56" s="1022"/>
      <c r="PC56" s="1022"/>
      <c r="PD56" s="1022"/>
      <c r="PE56" s="1022"/>
      <c r="PF56" s="1022"/>
      <c r="PG56" s="902">
        <f t="shared" si="485"/>
        <v>0</v>
      </c>
      <c r="PH56" s="1022">
        <f>PH37</f>
        <v>11386083.33</v>
      </c>
      <c r="PI56" s="1022">
        <f t="shared" ref="PI56:PO56" si="508">PI37</f>
        <v>29278500</v>
      </c>
      <c r="PJ56" s="1022">
        <f t="shared" si="508"/>
        <v>1277522.67</v>
      </c>
      <c r="PK56" s="1022">
        <f t="shared" si="508"/>
        <v>3285058.3099999996</v>
      </c>
      <c r="PL56" s="1022">
        <f t="shared" si="508"/>
        <v>570111.11</v>
      </c>
      <c r="PM56" s="1022">
        <f t="shared" si="508"/>
        <v>1466000</v>
      </c>
      <c r="PN56" s="1022">
        <f t="shared" si="508"/>
        <v>0</v>
      </c>
      <c r="PO56" s="1022">
        <f t="shared" si="508"/>
        <v>0</v>
      </c>
      <c r="PP56" s="902">
        <f t="shared" si="488"/>
        <v>0</v>
      </c>
      <c r="PQ56" s="1022">
        <f t="shared" ref="PQ56:PV56" si="509">PQ37</f>
        <v>9437667.6100000031</v>
      </c>
      <c r="PR56" s="1022">
        <f t="shared" si="509"/>
        <v>24268288.16</v>
      </c>
      <c r="PS56" s="1022">
        <f t="shared" si="509"/>
        <v>1250756.48</v>
      </c>
      <c r="PT56" s="1022">
        <f t="shared" si="509"/>
        <v>3216230.96</v>
      </c>
      <c r="PU56" s="1022">
        <f t="shared" si="509"/>
        <v>0</v>
      </c>
      <c r="PV56" s="1022">
        <f t="shared" si="509"/>
        <v>0</v>
      </c>
      <c r="PW56" s="1022">
        <f t="shared" ref="PW56:PX56" si="510">PW37</f>
        <v>0</v>
      </c>
      <c r="PX56" s="1022">
        <f t="shared" si="510"/>
        <v>0</v>
      </c>
      <c r="PY56" s="218"/>
      <c r="PZ56" s="218"/>
      <c r="QA56" s="218"/>
      <c r="QB56" s="218"/>
      <c r="QC56" s="218"/>
      <c r="QD56" s="218"/>
      <c r="QE56" s="218"/>
      <c r="QF56" s="218"/>
      <c r="QG56" s="218"/>
      <c r="QH56" s="218"/>
      <c r="QI56" s="218"/>
      <c r="QJ56" s="218"/>
      <c r="QK56" s="218"/>
      <c r="QL56" s="218"/>
      <c r="QM56" s="218"/>
      <c r="QN56" s="218"/>
      <c r="QO56" s="218"/>
      <c r="QP56" s="218"/>
      <c r="QQ56" s="218"/>
      <c r="QR56" s="218"/>
      <c r="QS56" s="218"/>
      <c r="QT56" s="218"/>
      <c r="QU56" s="218"/>
      <c r="QV56" s="218"/>
      <c r="QW56" s="218"/>
      <c r="QX56" s="218"/>
      <c r="QY56" s="218"/>
      <c r="QZ56" s="218"/>
      <c r="RA56" s="218"/>
      <c r="RB56" s="218"/>
      <c r="RC56" s="218"/>
      <c r="RD56" s="218"/>
      <c r="RE56" s="218"/>
      <c r="RF56" s="218"/>
      <c r="RG56" s="218"/>
      <c r="RH56" s="218"/>
      <c r="RI56" s="218"/>
      <c r="RJ56" s="218"/>
      <c r="RK56" s="218"/>
      <c r="RL56" s="218"/>
      <c r="RM56" s="218"/>
      <c r="RN56" s="218"/>
      <c r="RO56" s="218"/>
      <c r="RP56" s="218"/>
      <c r="RQ56" s="218"/>
      <c r="RR56" s="218"/>
      <c r="RS56" s="218"/>
      <c r="RT56" s="218"/>
      <c r="RU56" s="218"/>
      <c r="RV56" s="218"/>
      <c r="RW56" s="218"/>
      <c r="RX56" s="218"/>
      <c r="RY56" s="218"/>
      <c r="RZ56" s="218"/>
      <c r="SA56" s="218"/>
      <c r="SB56" s="218"/>
      <c r="SC56" s="218"/>
      <c r="SD56" s="218"/>
      <c r="SE56" s="218"/>
      <c r="SF56" s="218"/>
      <c r="SG56" s="218"/>
      <c r="SH56" s="218"/>
      <c r="SI56" s="218"/>
      <c r="SJ56" s="218"/>
      <c r="SK56" s="218"/>
      <c r="SL56" s="218"/>
      <c r="SM56" s="218"/>
      <c r="SN56" s="218"/>
      <c r="SO56" s="218"/>
      <c r="SP56" s="218"/>
      <c r="SQ56" s="218"/>
      <c r="SR56" s="218"/>
      <c r="SS56" s="218"/>
      <c r="ST56" s="218"/>
      <c r="SU56" s="218"/>
      <c r="SV56" s="218"/>
      <c r="SW56" s="218"/>
      <c r="SX56" s="218"/>
      <c r="SY56" s="218"/>
      <c r="SZ56" s="218"/>
      <c r="TA56" s="218"/>
      <c r="TB56" s="218"/>
      <c r="TC56" s="218"/>
      <c r="TD56" s="218"/>
      <c r="TE56" s="218"/>
      <c r="TF56" s="218"/>
      <c r="TG56" s="218"/>
      <c r="TH56" s="218"/>
      <c r="TI56" s="218"/>
      <c r="TJ56" s="218"/>
      <c r="TK56" s="218"/>
      <c r="TL56" s="218"/>
      <c r="TM56" s="218"/>
      <c r="TN56" s="218"/>
      <c r="TO56" s="218"/>
      <c r="TP56" s="218"/>
      <c r="TQ56" s="218"/>
      <c r="TR56" s="218"/>
      <c r="TS56" s="218"/>
      <c r="TT56" s="218"/>
      <c r="TU56" s="218"/>
      <c r="TV56" s="218"/>
      <c r="TW56" s="218"/>
      <c r="TX56" s="218"/>
      <c r="TY56" s="218"/>
      <c r="TZ56" s="218"/>
      <c r="UA56" s="218"/>
      <c r="UB56" s="218"/>
      <c r="UC56" s="218"/>
      <c r="UD56" s="218"/>
      <c r="UE56" s="218"/>
      <c r="UF56" s="218"/>
      <c r="UG56" s="218"/>
      <c r="UH56" s="218"/>
      <c r="UI56" s="218"/>
      <c r="UJ56" s="218"/>
      <c r="UK56" s="218"/>
      <c r="UL56" s="218"/>
      <c r="UM56" s="218"/>
      <c r="UN56" s="218"/>
      <c r="UO56" s="218"/>
      <c r="UP56" s="218"/>
      <c r="UQ56" s="218"/>
      <c r="UR56" s="218"/>
      <c r="US56" s="218"/>
      <c r="UT56" s="218"/>
      <c r="UU56" s="218"/>
      <c r="UV56" s="218"/>
      <c r="UW56" s="218"/>
      <c r="UX56" s="218"/>
      <c r="UY56" s="218"/>
      <c r="UZ56" s="218"/>
      <c r="VA56" s="218"/>
      <c r="VB56" s="218"/>
      <c r="VC56" s="218"/>
      <c r="VD56" s="218"/>
      <c r="VE56" s="218"/>
      <c r="VF56" s="218"/>
      <c r="VG56" s="218"/>
      <c r="VH56" s="218"/>
      <c r="VI56" s="218"/>
      <c r="VJ56" s="218"/>
      <c r="VK56" s="218"/>
      <c r="VL56" s="218"/>
      <c r="VM56" s="218"/>
      <c r="VN56" s="218"/>
      <c r="VO56" s="218"/>
      <c r="VP56" s="218"/>
      <c r="VQ56" s="218"/>
      <c r="VR56" s="218"/>
      <c r="VS56" s="218"/>
      <c r="VT56" s="218"/>
      <c r="VU56" s="218"/>
      <c r="VV56" s="218"/>
      <c r="VW56" s="218"/>
      <c r="VX56" s="218"/>
      <c r="VY56" s="218"/>
      <c r="VZ56" s="218"/>
      <c r="WA56" s="218"/>
      <c r="WB56" s="218"/>
      <c r="WC56" s="218"/>
      <c r="WD56" s="218"/>
      <c r="WE56" s="218"/>
      <c r="WF56" s="218"/>
      <c r="WG56" s="218"/>
      <c r="WH56" s="218"/>
    </row>
    <row r="57" spans="1:606" s="1019" customFormat="1" x14ac:dyDescent="0.3">
      <c r="A57" s="1012" t="s">
        <v>179</v>
      </c>
      <c r="B57" s="1015">
        <f>B53-B54-B55-B56</f>
        <v>-5.9604644775390625E-7</v>
      </c>
      <c r="C57" s="1015">
        <f>C53-C54-C55-C56</f>
        <v>0</v>
      </c>
      <c r="D57" s="1193">
        <f t="shared" si="490"/>
        <v>-5.9604644775390626E-10</v>
      </c>
      <c r="E57" s="1193">
        <f t="shared" si="490"/>
        <v>0</v>
      </c>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902">
        <f t="shared" si="465"/>
        <v>-2.7380883693695068E-7</v>
      </c>
      <c r="AL57" s="1022">
        <f>SUM(NV57:NX57)</f>
        <v>0</v>
      </c>
      <c r="AM57" s="218"/>
      <c r="AN57" s="218"/>
      <c r="AO57" s="1022">
        <f>SUM(AP57:NZ57)</f>
        <v>-2.7380883693695068E-7</v>
      </c>
      <c r="AP57" s="1022">
        <f>SUM(NX57:NZ57)</f>
        <v>0</v>
      </c>
      <c r="AQ57" s="902">
        <f t="shared" si="467"/>
        <v>-9.1269612312316895E-8</v>
      </c>
      <c r="AR57" s="1022">
        <f>SUM(NY57:OC57)</f>
        <v>0</v>
      </c>
      <c r="AS57" s="218"/>
      <c r="AT57" s="218"/>
      <c r="AU57" s="1022">
        <f>SUM(AV57:PM57)</f>
        <v>-9.1269612312316895E-8</v>
      </c>
      <c r="AV57" s="1022">
        <f>SUM(OA57:OE57)</f>
        <v>0</v>
      </c>
      <c r="AW57" s="902">
        <f t="shared" si="470"/>
        <v>-3.9115548133850098E-8</v>
      </c>
      <c r="AX57" s="1022">
        <f>SUM(AY57:OD57)</f>
        <v>-2.6077032089233398E-8</v>
      </c>
      <c r="AY57" s="218"/>
      <c r="AZ57" s="1022"/>
      <c r="BA57" s="1022">
        <f>SUM(BB57:OE57)</f>
        <v>-1.3038516044616699E-8</v>
      </c>
      <c r="BB57" s="1022">
        <f>SUM(OD57:OE57)</f>
        <v>0</v>
      </c>
      <c r="BC57" s="902">
        <f t="shared" si="473"/>
        <v>-5.5879354476928711E-9</v>
      </c>
      <c r="BD57" s="1022">
        <f>SUM(BE57:OG57)</f>
        <v>-3.7252902984619141E-9</v>
      </c>
      <c r="BE57" s="218"/>
      <c r="BF57" s="1022"/>
      <c r="BG57" s="1022">
        <f>SUM(BH57:OG57)</f>
        <v>-1.862645149230957E-9</v>
      </c>
      <c r="BH57" s="1022">
        <f>SUM(OG57:OG57)</f>
        <v>0</v>
      </c>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21">
        <f>CG53-CG54-CG55-CG56</f>
        <v>0</v>
      </c>
      <c r="CH57" s="218"/>
      <c r="CI57" s="218"/>
      <c r="CJ57" s="218"/>
      <c r="CK57" s="215"/>
      <c r="CL57" s="221">
        <f>CL53-CL54-CL55-CL56</f>
        <v>0</v>
      </c>
      <c r="CM57" s="218"/>
      <c r="CN57" s="218"/>
      <c r="CO57" s="218"/>
      <c r="CP57" s="215"/>
      <c r="CQ57" s="221">
        <f>CQ53-CQ54-CQ55-CQ56</f>
        <v>0</v>
      </c>
      <c r="CR57" s="218"/>
      <c r="CS57" s="218"/>
      <c r="CT57" s="218"/>
      <c r="CU57" s="215"/>
      <c r="CV57" s="221">
        <f>CV53-CV54-CV55-CV56</f>
        <v>0</v>
      </c>
      <c r="CW57" s="218"/>
      <c r="CX57" s="218"/>
      <c r="CY57" s="218"/>
      <c r="CZ57" s="215"/>
      <c r="DA57" s="218"/>
      <c r="DB57" s="218"/>
      <c r="DC57" s="218"/>
      <c r="DD57" s="218"/>
      <c r="DE57" s="221">
        <f>DE53-DE54-DE55-DE56</f>
        <v>0</v>
      </c>
      <c r="DF57" s="221">
        <f>DF53-DF54-DF55-DF56</f>
        <v>0</v>
      </c>
      <c r="DG57" s="218"/>
      <c r="DH57" s="218"/>
      <c r="DI57" s="218"/>
      <c r="DJ57" s="218"/>
      <c r="DK57" s="218"/>
      <c r="DL57" s="218"/>
      <c r="DM57" s="221">
        <f>DM53-DM54-DM55-DM56</f>
        <v>0</v>
      </c>
      <c r="DN57" s="221">
        <f>DN53-DN54-DN55-DN56</f>
        <v>0</v>
      </c>
      <c r="DO57" s="218"/>
      <c r="DP57" s="218"/>
      <c r="DQ57" s="218"/>
      <c r="DR57" s="218"/>
      <c r="DS57" s="218"/>
      <c r="DT57" s="218"/>
      <c r="DU57" s="221">
        <f>DU53-DU54-DU55-DU56</f>
        <v>-9.3132257461547852E-10</v>
      </c>
      <c r="DV57" s="218"/>
      <c r="DW57" s="218"/>
      <c r="DX57" s="218"/>
      <c r="DY57" s="218"/>
      <c r="DZ57" s="218"/>
      <c r="EA57" s="218"/>
      <c r="EB57" s="218"/>
      <c r="EC57" s="221">
        <f>EC53-EC54-EC55-EC56</f>
        <v>0</v>
      </c>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21">
        <f>FU53-FU54-FU55-FU56</f>
        <v>0</v>
      </c>
      <c r="FV57" s="218"/>
      <c r="FW57" s="218"/>
      <c r="FX57" s="221">
        <f>FX53-FX54-FX55-FX56</f>
        <v>0</v>
      </c>
      <c r="FY57" s="218"/>
      <c r="FZ57" s="218"/>
      <c r="GA57" s="221">
        <f>GA53-GA54-GA55-GA56</f>
        <v>0</v>
      </c>
      <c r="GB57" s="221"/>
      <c r="GC57" s="221"/>
      <c r="GD57" s="221">
        <f>GD53-GD54-GD55-GD56</f>
        <v>0</v>
      </c>
      <c r="GE57" s="221"/>
      <c r="GF57" s="221"/>
      <c r="GG57" s="218"/>
      <c r="GH57" s="218"/>
      <c r="GI57" s="218"/>
      <c r="GJ57" s="218"/>
      <c r="GK57" s="218"/>
      <c r="GL57" s="218"/>
      <c r="GY57" s="902">
        <f t="shared" si="475"/>
        <v>0</v>
      </c>
      <c r="GZ57" s="1013">
        <f t="shared" ref="GZ57" si="511">GZ53-GZ54-GZ55-GZ56</f>
        <v>0</v>
      </c>
      <c r="HB57" s="902">
        <f t="shared" si="477"/>
        <v>0</v>
      </c>
      <c r="HC57" s="1013">
        <f t="shared" ref="HC57" si="512">HC53-HC54-HC55-HC56</f>
        <v>0</v>
      </c>
      <c r="HE57" s="1020">
        <f>SUM(HF57:HM57)</f>
        <v>-2.3283064365386963E-10</v>
      </c>
      <c r="HF57" s="218"/>
      <c r="HG57" s="218"/>
      <c r="HH57" s="1013">
        <f>HH53-HH54-HH55-HH56</f>
        <v>-2.3283064365386963E-10</v>
      </c>
      <c r="HI57" s="218"/>
      <c r="HJ57" s="218"/>
      <c r="HK57" s="218"/>
      <c r="HL57" s="1013">
        <f>HL53-HL54-HL55-HL56</f>
        <v>0</v>
      </c>
      <c r="HM57" s="218"/>
      <c r="HN57" s="1020">
        <f>SUM(HO57:HV57)</f>
        <v>-2.3283064365386963E-10</v>
      </c>
      <c r="HO57" s="218"/>
      <c r="HP57" s="218"/>
      <c r="HQ57" s="1013">
        <f>HQ53-HQ54-HQ55-HQ56</f>
        <v>-2.3283064365386963E-10</v>
      </c>
      <c r="HR57" s="218"/>
      <c r="HS57" s="218"/>
      <c r="HT57" s="218"/>
      <c r="HU57" s="1013">
        <f>HU53-HU54-HU55-HU56</f>
        <v>0</v>
      </c>
      <c r="HV57" s="218"/>
      <c r="HW57" s="1020">
        <f>SUM(HX57:IE57)</f>
        <v>0</v>
      </c>
      <c r="HX57" s="218"/>
      <c r="HY57" s="218"/>
      <c r="HZ57" s="1013">
        <f>HZ53-HZ54-HZ55-HZ56</f>
        <v>0</v>
      </c>
      <c r="IA57" s="218"/>
      <c r="IB57" s="218"/>
      <c r="IC57" s="218"/>
      <c r="ID57" s="1013">
        <f>ID53-ID54-ID55-ID56</f>
        <v>0</v>
      </c>
      <c r="IE57" s="218"/>
      <c r="IF57" s="1020">
        <f>SUM(IG57:IN57)</f>
        <v>0</v>
      </c>
      <c r="IG57" s="218"/>
      <c r="IH57" s="218"/>
      <c r="II57" s="1013">
        <f>II53-II54-II55-II56</f>
        <v>0</v>
      </c>
      <c r="IJ57" s="218"/>
      <c r="IK57" s="218"/>
      <c r="IL57" s="218"/>
      <c r="IM57" s="1013">
        <f>IM53-IM54-IM55-IM56</f>
        <v>0</v>
      </c>
      <c r="IN57" s="218"/>
      <c r="IO57" s="215"/>
      <c r="IP57" s="215"/>
      <c r="IQ57" s="215"/>
      <c r="IR57" s="215"/>
      <c r="IS57" s="215"/>
      <c r="IT57" s="215"/>
      <c r="IU57" s="215"/>
      <c r="IV57" s="215"/>
      <c r="IW57" s="215"/>
      <c r="IX57" s="215"/>
      <c r="IY57" s="215"/>
      <c r="IZ57" s="215"/>
      <c r="JA57" s="215"/>
      <c r="JB57" s="215"/>
      <c r="JC57" s="215"/>
      <c r="JD57" s="215"/>
      <c r="JE57" s="215"/>
      <c r="JF57" s="215"/>
      <c r="JG57" s="215"/>
      <c r="JH57" s="215"/>
      <c r="JI57" s="215"/>
      <c r="JJ57" s="215"/>
      <c r="JK57" s="215"/>
      <c r="JL57" s="215"/>
      <c r="JM57" s="215"/>
      <c r="JN57" s="215"/>
      <c r="JO57" s="215"/>
      <c r="JP57" s="215"/>
      <c r="JQ57" s="215"/>
      <c r="JR57" s="215"/>
      <c r="JS57" s="215"/>
      <c r="JT57" s="215"/>
      <c r="JU57" s="215"/>
      <c r="JV57" s="215"/>
      <c r="JW57" s="215"/>
      <c r="JX57" s="215"/>
      <c r="JY57" s="221">
        <f>JY53-JY54-JY55-JY56</f>
        <v>0</v>
      </c>
      <c r="JZ57" s="235"/>
      <c r="KA57" s="235"/>
      <c r="KB57" s="235"/>
      <c r="KC57" s="235"/>
      <c r="KD57" s="221">
        <f>KD53-KD54-KD55-KD56</f>
        <v>0</v>
      </c>
      <c r="KE57" s="235"/>
      <c r="KF57" s="215"/>
      <c r="KG57" s="1178"/>
      <c r="KH57" s="1190"/>
      <c r="KI57" s="215"/>
      <c r="KJ57" s="215"/>
      <c r="KK57" s="1190"/>
      <c r="KL57" s="1190"/>
      <c r="KM57" s="218"/>
      <c r="KN57" s="218"/>
      <c r="KO57" s="215"/>
      <c r="KP57" s="215"/>
      <c r="KQ57" s="1190"/>
      <c r="KR57" s="1190"/>
      <c r="KS57" s="218"/>
      <c r="KT57" s="218"/>
      <c r="KU57" s="215"/>
      <c r="KV57" s="215"/>
      <c r="KW57" s="215"/>
      <c r="KX57" s="215"/>
      <c r="KY57" s="215"/>
      <c r="KZ57" s="215"/>
      <c r="LA57" s="215"/>
      <c r="LB57" s="215"/>
      <c r="LC57" s="215"/>
      <c r="LD57" s="215"/>
      <c r="LE57" s="215"/>
      <c r="LF57" s="215"/>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s="218"/>
      <c r="MZ57" s="221"/>
      <c r="NA57" s="218"/>
      <c r="NB57" s="221"/>
      <c r="NC57" s="218"/>
      <c r="ND57" s="218"/>
      <c r="NE57" s="218"/>
      <c r="NF57" s="218"/>
      <c r="NG57" s="218"/>
      <c r="NH57" s="218"/>
      <c r="NI57" s="218"/>
      <c r="NJ57" s="218"/>
      <c r="NK57" s="218"/>
      <c r="NL57" s="218"/>
      <c r="NM57" s="218"/>
      <c r="NN57" s="218"/>
      <c r="NO57" s="218"/>
      <c r="NP57" s="218"/>
      <c r="NQ57" s="218"/>
      <c r="NR57" s="218"/>
      <c r="NS57" s="218"/>
      <c r="NT57" s="218"/>
      <c r="NU57" s="902">
        <f t="shared" si="479"/>
        <v>0</v>
      </c>
      <c r="NV57" s="1022"/>
      <c r="NW57" s="1022"/>
      <c r="NX57" s="902">
        <f t="shared" si="480"/>
        <v>0</v>
      </c>
      <c r="NY57" s="1022"/>
      <c r="NZ57" s="1022"/>
      <c r="OA57" s="221"/>
      <c r="OD57" s="221"/>
      <c r="OG57" s="218"/>
      <c r="OH57" s="218"/>
      <c r="OI57" s="218"/>
      <c r="OJ57" s="218"/>
      <c r="OK57" s="218"/>
      <c r="OL57" s="218"/>
      <c r="OM57" s="218"/>
      <c r="ON57" s="218"/>
      <c r="OO57" s="218"/>
      <c r="OP57" s="218"/>
      <c r="OQ57" s="218"/>
      <c r="OR57" s="218"/>
      <c r="OS57" s="902">
        <f t="shared" si="481"/>
        <v>0</v>
      </c>
      <c r="OT57" s="1022"/>
      <c r="OU57" s="1022"/>
      <c r="OV57" s="1022"/>
      <c r="OW57" s="1022"/>
      <c r="OX57" s="1022"/>
      <c r="OY57" s="1022"/>
      <c r="OZ57" s="902">
        <f t="shared" si="483"/>
        <v>0</v>
      </c>
      <c r="PA57" s="1022"/>
      <c r="PB57" s="1022"/>
      <c r="PC57" s="1022"/>
      <c r="PD57" s="1022"/>
      <c r="PE57" s="1022"/>
      <c r="PF57" s="1022"/>
      <c r="PG57" s="902">
        <f t="shared" si="485"/>
        <v>0</v>
      </c>
      <c r="PH57" s="1022"/>
      <c r="PI57" s="1022"/>
      <c r="PJ57" s="1022"/>
      <c r="PK57" s="1022"/>
      <c r="PL57" s="1022"/>
      <c r="PM57" s="1022"/>
      <c r="PN57" s="1022"/>
      <c r="PO57" s="1022"/>
      <c r="PP57" s="902">
        <f t="shared" si="488"/>
        <v>0</v>
      </c>
      <c r="PQ57" s="1022"/>
      <c r="PR57" s="1022"/>
      <c r="PS57" s="1022"/>
      <c r="PT57" s="1022"/>
      <c r="PU57" s="1022"/>
      <c r="PV57" s="1022"/>
      <c r="PW57" s="1022"/>
      <c r="PX57" s="1022"/>
      <c r="PY57" s="218"/>
      <c r="PZ57" s="218"/>
      <c r="QA57" s="218"/>
      <c r="QB57" s="218"/>
      <c r="QC57" s="218"/>
      <c r="QD57" s="218"/>
      <c r="QE57" s="218"/>
      <c r="QF57" s="218"/>
      <c r="QG57" s="218"/>
      <c r="QH57" s="218"/>
      <c r="QI57" s="218"/>
      <c r="QJ57" s="218"/>
      <c r="QK57" s="218"/>
      <c r="QL57" s="218"/>
      <c r="QM57" s="218"/>
      <c r="QN57" s="218"/>
      <c r="QO57" s="218"/>
      <c r="QP57" s="218"/>
      <c r="QQ57" s="218"/>
      <c r="QR57" s="218"/>
      <c r="QS57" s="218"/>
      <c r="QT57" s="218"/>
      <c r="QU57" s="218"/>
      <c r="QV57" s="218"/>
      <c r="QW57" s="218"/>
      <c r="QX57" s="218"/>
      <c r="QY57" s="218"/>
      <c r="QZ57" s="218"/>
      <c r="RA57" s="218"/>
      <c r="RB57" s="218"/>
      <c r="RC57" s="218"/>
      <c r="RD57" s="218"/>
      <c r="RE57" s="218"/>
      <c r="RF57" s="218"/>
      <c r="RG57" s="218"/>
      <c r="RH57" s="218"/>
      <c r="RI57" s="218"/>
      <c r="RJ57" s="218"/>
      <c r="RK57" s="218"/>
      <c r="RL57" s="218"/>
      <c r="RM57" s="218"/>
      <c r="RN57" s="218"/>
      <c r="RO57" s="218"/>
      <c r="RP57" s="218"/>
      <c r="RQ57" s="218"/>
      <c r="RR57" s="218"/>
      <c r="RS57" s="218"/>
      <c r="RT57" s="218"/>
      <c r="RU57" s="218"/>
      <c r="RV57" s="218"/>
      <c r="RW57" s="218"/>
      <c r="RX57" s="218"/>
      <c r="RY57" s="218"/>
      <c r="RZ57" s="218"/>
      <c r="SA57" s="218"/>
      <c r="SB57" s="218"/>
      <c r="SC57" s="218"/>
      <c r="SD57" s="218"/>
      <c r="SE57" s="218"/>
      <c r="SF57" s="218"/>
      <c r="SG57" s="218"/>
      <c r="SH57" s="218"/>
      <c r="SI57" s="218"/>
      <c r="SJ57" s="218"/>
      <c r="SK57" s="218"/>
      <c r="SL57" s="218"/>
      <c r="SM57" s="218"/>
      <c r="SN57" s="218"/>
      <c r="SO57" s="218"/>
      <c r="SP57" s="218"/>
      <c r="SQ57" s="218"/>
      <c r="SR57" s="218"/>
      <c r="SS57" s="218"/>
      <c r="ST57" s="218"/>
      <c r="SU57" s="218"/>
      <c r="SV57" s="218"/>
      <c r="SW57" s="218"/>
      <c r="SX57" s="218"/>
      <c r="SY57" s="218"/>
      <c r="SZ57" s="218"/>
      <c r="TA57" s="218"/>
      <c r="TB57" s="218"/>
      <c r="TC57" s="218"/>
      <c r="TD57" s="218"/>
      <c r="TE57" s="218"/>
      <c r="TF57" s="218"/>
      <c r="TG57" s="218"/>
      <c r="TH57" s="218"/>
      <c r="TI57" s="218"/>
      <c r="TJ57" s="218"/>
      <c r="TK57" s="218"/>
      <c r="TL57" s="218"/>
      <c r="TM57" s="218"/>
      <c r="TN57" s="218"/>
      <c r="TO57" s="218"/>
      <c r="TP57" s="218"/>
      <c r="TQ57" s="218"/>
      <c r="TR57" s="218"/>
      <c r="TS57" s="218"/>
      <c r="TT57" s="218"/>
      <c r="TU57" s="218"/>
      <c r="TV57" s="218"/>
      <c r="TW57" s="218"/>
      <c r="TX57" s="218"/>
      <c r="TY57" s="218"/>
      <c r="TZ57" s="218"/>
      <c r="UA57" s="218"/>
      <c r="UB57" s="218"/>
      <c r="UC57" s="218"/>
      <c r="UD57" s="218"/>
      <c r="UE57" s="218"/>
      <c r="UF57" s="218"/>
      <c r="UG57" s="218"/>
      <c r="UH57" s="218"/>
      <c r="UI57" s="218"/>
      <c r="UJ57" s="218"/>
      <c r="UK57" s="218"/>
      <c r="UL57" s="218"/>
      <c r="UM57" s="218"/>
      <c r="UN57" s="218"/>
      <c r="UO57" s="218"/>
      <c r="UP57" s="218"/>
      <c r="UQ57" s="218"/>
      <c r="UR57" s="218"/>
      <c r="US57" s="218"/>
      <c r="UT57" s="218"/>
      <c r="UU57" s="218"/>
      <c r="UV57" s="218"/>
      <c r="UW57" s="218"/>
      <c r="UX57" s="218"/>
      <c r="UY57" s="218"/>
      <c r="UZ57" s="218"/>
      <c r="VA57" s="218"/>
      <c r="VB57" s="218"/>
      <c r="VC57" s="218"/>
      <c r="VD57" s="218"/>
      <c r="VE57" s="218"/>
      <c r="VF57" s="218"/>
      <c r="VG57" s="218"/>
      <c r="VH57" s="218"/>
      <c r="VI57" s="218"/>
      <c r="VJ57" s="218"/>
      <c r="VK57" s="218"/>
      <c r="VL57" s="218"/>
      <c r="VM57" s="218"/>
      <c r="VN57" s="218"/>
      <c r="VO57" s="218"/>
      <c r="VP57" s="218"/>
      <c r="VQ57" s="218"/>
      <c r="VR57" s="218"/>
      <c r="VS57" s="218"/>
      <c r="VT57" s="218"/>
      <c r="VU57" s="218"/>
      <c r="VV57" s="218"/>
      <c r="VW57" s="218"/>
      <c r="VX57" s="218"/>
      <c r="VY57" s="218"/>
      <c r="VZ57" s="218"/>
      <c r="WA57" s="218"/>
      <c r="WB57" s="218"/>
      <c r="WC57" s="218"/>
      <c r="WD57" s="218"/>
      <c r="WE57" s="218"/>
      <c r="WF57" s="218"/>
      <c r="WG57" s="218"/>
      <c r="WH57" s="218"/>
    </row>
    <row r="58" spans="1:606" s="1019" customFormat="1" x14ac:dyDescent="0.3">
      <c r="A58" s="1012"/>
      <c r="B58" s="1015"/>
      <c r="C58" s="1018"/>
      <c r="D58" s="1193">
        <f t="shared" si="490"/>
        <v>0</v>
      </c>
      <c r="E58" s="1193">
        <f t="shared" si="490"/>
        <v>0</v>
      </c>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902">
        <f t="shared" si="465"/>
        <v>0</v>
      </c>
      <c r="AL58" s="1022"/>
      <c r="AM58" s="218"/>
      <c r="AN58" s="218"/>
      <c r="AO58" s="1022"/>
      <c r="AP58" s="1022"/>
      <c r="AQ58" s="902">
        <f t="shared" si="467"/>
        <v>0</v>
      </c>
      <c r="AR58" s="1022"/>
      <c r="AS58" s="218"/>
      <c r="AT58" s="218"/>
      <c r="AU58" s="1022"/>
      <c r="AV58" s="1022"/>
      <c r="AW58" s="902">
        <f t="shared" si="470"/>
        <v>0</v>
      </c>
      <c r="AX58" s="1022"/>
      <c r="AY58" s="218"/>
      <c r="AZ58" s="1022"/>
      <c r="BA58" s="1022"/>
      <c r="BB58" s="1022"/>
      <c r="BC58" s="902">
        <f t="shared" si="473"/>
        <v>0</v>
      </c>
      <c r="BD58" s="1022"/>
      <c r="BE58" s="218"/>
      <c r="BF58" s="1022"/>
      <c r="BG58" s="1022"/>
      <c r="BH58" s="1022"/>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c r="CL58" s="218"/>
      <c r="CM58" s="218"/>
      <c r="CN58" s="218"/>
      <c r="CO58" s="218"/>
      <c r="CP58"/>
      <c r="CQ58" s="218"/>
      <c r="CR58" s="218"/>
      <c r="CS58" s="218"/>
      <c r="CT58" s="218"/>
      <c r="CU58"/>
      <c r="CV58" s="218"/>
      <c r="CW58" s="218"/>
      <c r="CX58" s="218"/>
      <c r="CY58" s="218"/>
      <c r="CZ5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Y58" s="902">
        <f t="shared" si="475"/>
        <v>0</v>
      </c>
      <c r="GZ58" s="1014"/>
      <c r="HB58" s="902">
        <f t="shared" si="477"/>
        <v>0</v>
      </c>
      <c r="HC58" s="1014"/>
      <c r="HE58" s="1020"/>
      <c r="HF58" s="218"/>
      <c r="HG58" s="218"/>
      <c r="HH58" s="1014"/>
      <c r="HI58" s="218"/>
      <c r="HJ58" s="218"/>
      <c r="HK58" s="218"/>
      <c r="HL58" s="1014"/>
      <c r="HM58" s="218"/>
      <c r="HN58" s="1020"/>
      <c r="HO58" s="218"/>
      <c r="HP58" s="218"/>
      <c r="HQ58" s="1014"/>
      <c r="HR58" s="218"/>
      <c r="HS58" s="218"/>
      <c r="HT58" s="218"/>
      <c r="HU58" s="1014"/>
      <c r="HV58" s="218"/>
      <c r="HW58" s="1020"/>
      <c r="HX58" s="218"/>
      <c r="HY58" s="218"/>
      <c r="HZ58" s="1014"/>
      <c r="IA58" s="218"/>
      <c r="IB58" s="218"/>
      <c r="IC58" s="218"/>
      <c r="ID58" s="1014"/>
      <c r="IE58" s="218"/>
      <c r="IF58" s="1020"/>
      <c r="IG58" s="218"/>
      <c r="IH58" s="218"/>
      <c r="II58" s="1014"/>
      <c r="IJ58" s="218"/>
      <c r="IK58" s="218"/>
      <c r="IL58" s="218"/>
      <c r="IM58" s="1014"/>
      <c r="IN58" s="218"/>
      <c r="IO58" s="218"/>
      <c r="IP58" s="218"/>
      <c r="IQ58" s="218"/>
      <c r="IR58" s="218"/>
      <c r="IS58" s="218"/>
      <c r="IT58" s="218"/>
      <c r="IU58" s="218"/>
      <c r="IV58" s="218"/>
      <c r="IW58" s="218"/>
      <c r="IX58" s="218"/>
      <c r="IY58" s="218"/>
      <c r="IZ58" s="218"/>
      <c r="JA58" s="218"/>
      <c r="JB58" s="218"/>
      <c r="JC58" s="218"/>
      <c r="JD58" s="218"/>
      <c r="JE58" s="218"/>
      <c r="JF58" s="218"/>
      <c r="JG58" s="218"/>
      <c r="JH58" s="218"/>
      <c r="JI58" s="218"/>
      <c r="JJ58" s="218"/>
      <c r="JK58" s="218"/>
      <c r="JL58" s="218"/>
      <c r="JM58" s="218"/>
      <c r="JN58" s="218"/>
      <c r="JO58" s="218"/>
      <c r="JP58" s="218"/>
      <c r="JQ58" s="218"/>
      <c r="JR58" s="218"/>
      <c r="JS58" s="218"/>
      <c r="JT58" s="218"/>
      <c r="JU58" s="218"/>
      <c r="JV58" s="218"/>
      <c r="JW58" s="218"/>
      <c r="JX58" s="218"/>
      <c r="JY58" s="218"/>
      <c r="JZ58" s="218"/>
      <c r="KA58" s="218"/>
      <c r="KB58" s="218"/>
      <c r="KC58" s="218"/>
      <c r="KD58" s="218"/>
      <c r="KE58" s="218"/>
      <c r="KF58"/>
      <c r="KG58"/>
      <c r="KH58"/>
      <c r="KI58"/>
      <c r="KJ58"/>
      <c r="KK58"/>
      <c r="KL58"/>
      <c r="KM58" s="218"/>
      <c r="KN58" s="218"/>
      <c r="KO58"/>
      <c r="KP58"/>
      <c r="KQ58"/>
      <c r="KR58"/>
      <c r="KS58" s="218"/>
      <c r="KT58" s="21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s="218"/>
      <c r="MZ58" s="218"/>
      <c r="NA58" s="218"/>
      <c r="NB58" s="218"/>
      <c r="NC58" s="218"/>
      <c r="ND58" s="218"/>
      <c r="NE58" s="218"/>
      <c r="NF58" s="218"/>
      <c r="NG58" s="218"/>
      <c r="NH58" s="218"/>
      <c r="NI58" s="218"/>
      <c r="NJ58" s="218"/>
      <c r="NK58" s="218"/>
      <c r="NL58" s="218"/>
      <c r="NM58" s="218"/>
      <c r="NN58" s="218"/>
      <c r="NO58" s="218"/>
      <c r="NP58" s="218"/>
      <c r="NQ58" s="218"/>
      <c r="NR58" s="218"/>
      <c r="NS58" s="218"/>
      <c r="NT58" s="218"/>
      <c r="NU58" s="902">
        <f t="shared" si="479"/>
        <v>0</v>
      </c>
      <c r="NV58" s="1022"/>
      <c r="NW58" s="1022"/>
      <c r="NX58" s="902">
        <f t="shared" si="480"/>
        <v>0</v>
      </c>
      <c r="NY58" s="1022"/>
      <c r="NZ58" s="1022"/>
      <c r="OA58" s="221"/>
      <c r="OD58" s="221"/>
      <c r="OG58" s="218"/>
      <c r="OH58" s="218"/>
      <c r="OI58" s="218"/>
      <c r="OJ58" s="218"/>
      <c r="OK58" s="218"/>
      <c r="OL58" s="218"/>
      <c r="OM58" s="218"/>
      <c r="ON58" s="218"/>
      <c r="OO58" s="218"/>
      <c r="OP58" s="218"/>
      <c r="OQ58" s="218"/>
      <c r="OR58" s="218"/>
      <c r="OS58" s="902">
        <f t="shared" si="481"/>
        <v>0</v>
      </c>
      <c r="OT58" s="1022"/>
      <c r="OU58" s="1022"/>
      <c r="OV58" s="1022"/>
      <c r="OW58" s="1022"/>
      <c r="OX58" s="1022"/>
      <c r="OY58" s="1022"/>
      <c r="OZ58" s="902">
        <f t="shared" si="483"/>
        <v>0</v>
      </c>
      <c r="PA58" s="1022"/>
      <c r="PB58" s="1022"/>
      <c r="PC58" s="1022"/>
      <c r="PD58" s="1022"/>
      <c r="PE58" s="1022"/>
      <c r="PF58" s="1022"/>
      <c r="PG58" s="902">
        <f t="shared" si="485"/>
        <v>0</v>
      </c>
      <c r="PH58" s="1022"/>
      <c r="PI58" s="1022"/>
      <c r="PJ58" s="1022"/>
      <c r="PK58" s="1022"/>
      <c r="PL58" s="1022"/>
      <c r="PM58" s="1022"/>
      <c r="PN58" s="1022"/>
      <c r="PO58" s="1022"/>
      <c r="PP58" s="902">
        <f t="shared" si="488"/>
        <v>0</v>
      </c>
      <c r="PQ58" s="1022"/>
      <c r="PR58" s="1022"/>
      <c r="PS58" s="1022"/>
      <c r="PT58" s="1022"/>
      <c r="PU58" s="1022"/>
      <c r="PV58" s="1022"/>
      <c r="PW58" s="1022"/>
      <c r="PX58" s="1022"/>
      <c r="PY58" s="218"/>
      <c r="PZ58" s="218"/>
      <c r="QA58" s="218"/>
      <c r="QB58" s="218"/>
      <c r="QC58" s="218"/>
      <c r="QD58" s="218"/>
      <c r="QE58" s="218"/>
      <c r="QF58" s="218"/>
      <c r="QG58" s="218"/>
      <c r="QH58" s="218"/>
      <c r="QI58" s="218"/>
      <c r="QJ58" s="218"/>
      <c r="QK58" s="218"/>
      <c r="QL58" s="218"/>
      <c r="QM58" s="218"/>
      <c r="QN58" s="218"/>
      <c r="QO58" s="218"/>
      <c r="QP58" s="218"/>
      <c r="QQ58" s="218"/>
      <c r="QR58" s="218"/>
      <c r="QS58" s="218"/>
      <c r="QT58" s="218"/>
      <c r="QU58" s="218"/>
      <c r="QV58" s="218"/>
      <c r="QW58" s="218"/>
      <c r="QX58" s="218"/>
      <c r="QY58" s="218"/>
      <c r="QZ58" s="218"/>
      <c r="RA58" s="218"/>
      <c r="RB58" s="218"/>
      <c r="RC58" s="218"/>
      <c r="RD58" s="218"/>
      <c r="RE58" s="218"/>
      <c r="RF58" s="218"/>
      <c r="RG58" s="218"/>
      <c r="RH58" s="218"/>
      <c r="RI58" s="218"/>
      <c r="RJ58" s="218"/>
      <c r="RK58" s="218"/>
      <c r="RL58" s="218"/>
      <c r="RM58" s="218"/>
      <c r="RN58" s="218"/>
      <c r="RO58" s="218"/>
      <c r="RP58" s="218"/>
      <c r="RQ58" s="218"/>
      <c r="RR58" s="218"/>
      <c r="RS58" s="218"/>
      <c r="RT58" s="218"/>
      <c r="RU58" s="218"/>
      <c r="RV58" s="218"/>
      <c r="RW58" s="218"/>
      <c r="RX58" s="218"/>
      <c r="RY58" s="218"/>
      <c r="RZ58" s="218"/>
      <c r="SA58" s="218"/>
      <c r="SB58" s="218"/>
      <c r="SC58" s="218"/>
      <c r="SD58" s="218"/>
      <c r="SE58" s="218"/>
      <c r="SF58" s="218"/>
      <c r="SG58" s="218"/>
      <c r="SH58" s="218"/>
      <c r="SI58" s="218"/>
      <c r="SJ58" s="218"/>
      <c r="SK58" s="218"/>
      <c r="SL58" s="218"/>
      <c r="SM58" s="218"/>
      <c r="SN58" s="218"/>
      <c r="SO58" s="218"/>
      <c r="SP58" s="218"/>
      <c r="SQ58" s="218"/>
      <c r="SR58" s="218"/>
      <c r="SS58" s="218"/>
      <c r="ST58" s="218"/>
      <c r="SU58" s="218"/>
      <c r="SV58" s="218"/>
      <c r="SW58" s="218"/>
      <c r="SX58" s="218"/>
      <c r="SY58" s="218"/>
      <c r="SZ58" s="218"/>
      <c r="TA58" s="218"/>
      <c r="TB58" s="218"/>
      <c r="TC58" s="218"/>
      <c r="TD58" s="218"/>
      <c r="TE58" s="218"/>
      <c r="TF58" s="218"/>
      <c r="TG58" s="218"/>
      <c r="TH58" s="218"/>
      <c r="TI58" s="218"/>
      <c r="TJ58" s="218"/>
      <c r="TK58" s="218"/>
      <c r="TL58" s="218"/>
      <c r="TM58" s="218"/>
      <c r="TN58" s="218"/>
      <c r="TO58" s="218"/>
      <c r="TP58" s="218"/>
      <c r="TQ58" s="218"/>
      <c r="TR58" s="218"/>
      <c r="TS58" s="218"/>
      <c r="TT58" s="218"/>
      <c r="TU58" s="218"/>
      <c r="TV58" s="218"/>
      <c r="TW58" s="218"/>
      <c r="TX58" s="218"/>
      <c r="TY58" s="218"/>
      <c r="TZ58" s="218"/>
      <c r="UA58" s="218"/>
      <c r="UB58" s="218"/>
      <c r="UC58" s="218"/>
      <c r="UD58" s="218"/>
      <c r="UE58" s="218"/>
      <c r="UF58" s="218"/>
      <c r="UG58" s="218"/>
      <c r="UH58" s="218"/>
      <c r="UI58" s="218"/>
      <c r="UJ58" s="218"/>
      <c r="UK58" s="218"/>
      <c r="UL58" s="218"/>
      <c r="UM58" s="218"/>
      <c r="UN58" s="218"/>
      <c r="UO58" s="218"/>
      <c r="UP58" s="218"/>
      <c r="UQ58" s="218"/>
      <c r="UR58" s="218"/>
      <c r="US58" s="218"/>
      <c r="UT58" s="218"/>
      <c r="UU58" s="218"/>
      <c r="UV58" s="218"/>
      <c r="UW58" s="218"/>
      <c r="UX58" s="218"/>
      <c r="UY58" s="218"/>
      <c r="UZ58" s="218"/>
      <c r="VA58" s="218"/>
      <c r="VB58" s="218"/>
      <c r="VC58" s="218"/>
      <c r="VD58" s="218"/>
      <c r="VE58" s="218"/>
      <c r="VF58" s="218"/>
      <c r="VG58" s="218"/>
      <c r="VH58" s="218"/>
      <c r="VI58" s="218"/>
      <c r="VJ58" s="218"/>
      <c r="VK58" s="218"/>
      <c r="VL58" s="218"/>
      <c r="VM58" s="218"/>
      <c r="VN58" s="218"/>
      <c r="VO58" s="218"/>
      <c r="VP58" s="218"/>
      <c r="VQ58" s="218"/>
      <c r="VR58" s="218"/>
      <c r="VS58" s="218"/>
      <c r="VT58" s="218"/>
      <c r="VU58" s="218"/>
      <c r="VV58" s="218"/>
      <c r="VW58" s="218"/>
      <c r="VX58" s="218"/>
      <c r="VY58" s="218"/>
      <c r="VZ58" s="218"/>
      <c r="WA58" s="218"/>
      <c r="WB58" s="218"/>
      <c r="WC58" s="218"/>
      <c r="WD58" s="218"/>
      <c r="WE58" s="218"/>
      <c r="WF58" s="218"/>
      <c r="WG58" s="218"/>
      <c r="WH58" s="218"/>
    </row>
    <row r="59" spans="1:606" s="1019" customFormat="1" x14ac:dyDescent="0.3">
      <c r="A59" s="1012" t="s">
        <v>262</v>
      </c>
      <c r="B59" s="1015">
        <f>NU59+OA59+DE59+DM59+DU59+FU59+GA59+HE59+HW59+'Проверочная  таблица'!JY59+'Прочая  субсидия_БП'!D29+CG59+CQ59+PG59+AW59+AK59+GY59</f>
        <v>101779670.45</v>
      </c>
      <c r="C59" s="1015">
        <f>NX59+OD59+DF59+DN59+EC59+FX59+GD59+HN59+IF59+'Проверочная  таблица'!KD59+'Прочая  субсидия_МР  и  ГО'!C48+'Прочая  субсидия_БП'!E29+CL59+CV59+PP59+AQ59+BC59+HB59</f>
        <v>33315066.850000001</v>
      </c>
      <c r="D59" s="1193">
        <f t="shared" si="490"/>
        <v>101779.67045000001</v>
      </c>
      <c r="E59" s="1193">
        <f t="shared" si="490"/>
        <v>33315.066850000003</v>
      </c>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902">
        <f t="shared" si="465"/>
        <v>0</v>
      </c>
      <c r="AL59" s="1022"/>
      <c r="AM59" s="218"/>
      <c r="AN59" s="218"/>
      <c r="AO59" s="1022"/>
      <c r="AP59" s="1022"/>
      <c r="AQ59" s="902">
        <f t="shared" si="467"/>
        <v>0</v>
      </c>
      <c r="AR59" s="1022"/>
      <c r="AS59" s="218"/>
      <c r="AT59" s="218"/>
      <c r="AU59" s="1022"/>
      <c r="AV59" s="1022"/>
      <c r="AW59" s="902">
        <f t="shared" si="470"/>
        <v>90385736.450000003</v>
      </c>
      <c r="AX59" s="1022">
        <f>BJ37</f>
        <v>88386939.620000005</v>
      </c>
      <c r="AY59" s="218"/>
      <c r="AZ59" s="1022"/>
      <c r="BA59" s="1022">
        <f>BM37</f>
        <v>0</v>
      </c>
      <c r="BB59" s="1022">
        <f>BN37</f>
        <v>1998796.83</v>
      </c>
      <c r="BC59" s="902">
        <f t="shared" si="473"/>
        <v>22763727.43</v>
      </c>
      <c r="BD59" s="1022">
        <f>BP37</f>
        <v>22763727.43</v>
      </c>
      <c r="BE59" s="218"/>
      <c r="BF59" s="1022"/>
      <c r="BG59" s="1022">
        <f>BS37</f>
        <v>0</v>
      </c>
      <c r="BH59" s="1022">
        <f>BT37</f>
        <v>0</v>
      </c>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21"/>
      <c r="CH59" s="218"/>
      <c r="CI59" s="218"/>
      <c r="CJ59" s="218"/>
      <c r="CK59"/>
      <c r="CL59" s="221"/>
      <c r="CM59" s="218"/>
      <c r="CN59" s="218"/>
      <c r="CO59" s="218"/>
      <c r="CP59"/>
      <c r="CQ59" s="221"/>
      <c r="CR59" s="218"/>
      <c r="CS59" s="218"/>
      <c r="CT59" s="218"/>
      <c r="CU59"/>
      <c r="CV59" s="221"/>
      <c r="CW59" s="218"/>
      <c r="CX59" s="218"/>
      <c r="CY59" s="218"/>
      <c r="CZ59"/>
      <c r="DA59" s="218"/>
      <c r="DB59" s="218"/>
      <c r="DC59" s="218"/>
      <c r="DD59" s="218"/>
      <c r="DE59" s="221">
        <f>DI37</f>
        <v>0</v>
      </c>
      <c r="DF59" s="221">
        <f>DJ37</f>
        <v>0</v>
      </c>
      <c r="DG59" s="218"/>
      <c r="DH59" s="218"/>
      <c r="DI59" s="218"/>
      <c r="DJ59" s="218"/>
      <c r="DK59" s="218"/>
      <c r="DL59" s="218"/>
      <c r="DM59" s="221">
        <f>DQ37</f>
        <v>0</v>
      </c>
      <c r="DN59" s="221">
        <f>DR37</f>
        <v>0</v>
      </c>
      <c r="DO59" s="218"/>
      <c r="DP59" s="218"/>
      <c r="DQ59" s="218"/>
      <c r="DR59" s="218"/>
      <c r="DS59" s="218"/>
      <c r="DT59" s="218"/>
      <c r="DU59" s="221"/>
      <c r="DV59" s="218"/>
      <c r="DW59" s="218"/>
      <c r="DX59" s="218"/>
      <c r="DY59" s="218"/>
      <c r="DZ59" s="218"/>
      <c r="EA59" s="218"/>
      <c r="EB59" s="218"/>
      <c r="EC59" s="221"/>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21"/>
      <c r="FV59" s="218"/>
      <c r="FW59" s="218"/>
      <c r="FX59" s="221"/>
      <c r="FY59" s="218"/>
      <c r="FZ59" s="218"/>
      <c r="GA59" s="221">
        <f>'Проверочная  таблица'!GM37</f>
        <v>11393934</v>
      </c>
      <c r="GB59" s="221"/>
      <c r="GC59" s="221"/>
      <c r="GD59" s="221">
        <f>'Проверочная  таблица'!GP37</f>
        <v>10551339.42</v>
      </c>
      <c r="GE59" s="221"/>
      <c r="GF59" s="221"/>
      <c r="GG59" s="218"/>
      <c r="GH59" s="218"/>
      <c r="GI59" s="218"/>
      <c r="GJ59" s="218"/>
      <c r="GK59" s="218"/>
      <c r="GL59" s="218"/>
      <c r="GY59" s="902">
        <f t="shared" si="475"/>
        <v>0</v>
      </c>
      <c r="GZ59" s="1013"/>
      <c r="HB59" s="902">
        <f t="shared" si="477"/>
        <v>0</v>
      </c>
      <c r="HC59" s="1013"/>
      <c r="HE59" s="1020">
        <f>SUM(HF59:HM59)</f>
        <v>0</v>
      </c>
      <c r="HF59" s="218"/>
      <c r="HG59" s="218"/>
      <c r="HH59" s="1013"/>
      <c r="HI59" s="218"/>
      <c r="HJ59" s="218"/>
      <c r="HK59" s="218"/>
      <c r="HL59" s="1013"/>
      <c r="HM59" s="218"/>
      <c r="HN59" s="1020">
        <f>SUM(HO59:HV59)</f>
        <v>0</v>
      </c>
      <c r="HO59" s="218"/>
      <c r="HP59" s="218"/>
      <c r="HQ59" s="1013"/>
      <c r="HR59" s="218"/>
      <c r="HS59" s="218"/>
      <c r="HT59" s="218"/>
      <c r="HU59" s="1013"/>
      <c r="HV59" s="218"/>
      <c r="HW59" s="1020">
        <f>SUM(HX59:IE59)</f>
        <v>0</v>
      </c>
      <c r="HX59" s="218"/>
      <c r="HY59" s="218"/>
      <c r="HZ59" s="1013">
        <f>IR37+IS37</f>
        <v>0</v>
      </c>
      <c r="IA59" s="218"/>
      <c r="IB59" s="218"/>
      <c r="IC59" s="218"/>
      <c r="ID59" s="1013">
        <f>IV37+IW37</f>
        <v>0</v>
      </c>
      <c r="IE59" s="218"/>
      <c r="IF59" s="1020">
        <f>SUM(IG59:IN59)</f>
        <v>0</v>
      </c>
      <c r="IG59" s="218"/>
      <c r="IH59" s="218"/>
      <c r="II59" s="1013">
        <f>JA37+JB37</f>
        <v>0</v>
      </c>
      <c r="IJ59" s="218"/>
      <c r="IK59" s="218"/>
      <c r="IL59" s="218"/>
      <c r="IM59" s="1013">
        <f>JE37+JF37</f>
        <v>0</v>
      </c>
      <c r="IN59" s="218"/>
      <c r="IO59" s="218"/>
      <c r="IP59" s="218"/>
      <c r="IQ59" s="218"/>
      <c r="IR59" s="218"/>
      <c r="IS59" s="218"/>
      <c r="IT59" s="218"/>
      <c r="IU59" s="218"/>
      <c r="IV59" s="218"/>
      <c r="IW59" s="218"/>
      <c r="IX59" s="218"/>
      <c r="IY59" s="218"/>
      <c r="IZ59" s="218"/>
      <c r="JA59" s="218"/>
      <c r="JB59" s="218"/>
      <c r="JC59" s="218"/>
      <c r="JD59" s="218"/>
      <c r="JE59" s="218"/>
      <c r="JF59" s="218"/>
      <c r="JG59" s="218"/>
      <c r="JH59" s="218"/>
      <c r="JI59" s="218"/>
      <c r="JJ59" s="218"/>
      <c r="JK59" s="218"/>
      <c r="JL59" s="218"/>
      <c r="JM59" s="218"/>
      <c r="JN59" s="218"/>
      <c r="JO59" s="218"/>
      <c r="JP59" s="218"/>
      <c r="JQ59" s="218"/>
      <c r="JR59" s="218"/>
      <c r="JS59" s="218"/>
      <c r="JT59" s="218"/>
      <c r="JU59" s="218"/>
      <c r="JV59" s="218"/>
      <c r="JW59" s="218"/>
      <c r="JX59" s="218"/>
      <c r="JY59" s="218"/>
      <c r="JZ59" s="218"/>
      <c r="KA59" s="218"/>
      <c r="KB59" s="218"/>
      <c r="KC59" s="218"/>
      <c r="KD59" s="218"/>
      <c r="KE59" s="218"/>
      <c r="KF59"/>
      <c r="KG59"/>
      <c r="KH59"/>
      <c r="KI59"/>
      <c r="KJ59"/>
      <c r="KK59"/>
      <c r="KL59"/>
      <c r="KM59" s="218"/>
      <c r="KN59" s="218"/>
      <c r="KO59"/>
      <c r="KP59"/>
      <c r="KQ59"/>
      <c r="KR59"/>
      <c r="KS59" s="218"/>
      <c r="KT59" s="218"/>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s="218"/>
      <c r="MZ59" s="218"/>
      <c r="NA59" s="218"/>
      <c r="NB59" s="218"/>
      <c r="NC59" s="218"/>
      <c r="ND59" s="218"/>
      <c r="NE59" s="218"/>
      <c r="NF59" s="218"/>
      <c r="NG59" s="218"/>
      <c r="NH59" s="218"/>
      <c r="NI59" s="218"/>
      <c r="NJ59" s="218"/>
      <c r="NK59" s="218"/>
      <c r="NL59" s="218"/>
      <c r="NM59" s="218"/>
      <c r="NN59" s="218"/>
      <c r="NO59" s="218"/>
      <c r="NP59" s="218"/>
      <c r="NQ59" s="218"/>
      <c r="NR59" s="218"/>
      <c r="NS59" s="218"/>
      <c r="NT59" s="218"/>
      <c r="NU59" s="902">
        <f t="shared" si="479"/>
        <v>0</v>
      </c>
      <c r="NV59" s="1022"/>
      <c r="NW59" s="1022"/>
      <c r="NX59" s="902">
        <f t="shared" si="480"/>
        <v>0</v>
      </c>
      <c r="NY59" s="1022"/>
      <c r="NZ59" s="1022"/>
      <c r="OA59" s="221"/>
      <c r="OD59" s="221"/>
      <c r="OG59" s="218"/>
      <c r="OH59" s="218"/>
      <c r="OI59" s="218"/>
      <c r="OJ59" s="218"/>
      <c r="OK59" s="218"/>
      <c r="OL59" s="218"/>
      <c r="OM59" s="218"/>
      <c r="ON59" s="218"/>
      <c r="OO59" s="218"/>
      <c r="OP59" s="218"/>
      <c r="OQ59" s="218"/>
      <c r="OR59" s="218"/>
      <c r="OS59" s="902">
        <f t="shared" si="481"/>
        <v>0</v>
      </c>
      <c r="OT59" s="1022"/>
      <c r="OU59" s="1022"/>
      <c r="OV59" s="1022"/>
      <c r="OW59" s="1022"/>
      <c r="OX59" s="1022"/>
      <c r="OY59" s="1022"/>
      <c r="OZ59" s="902">
        <f t="shared" si="483"/>
        <v>0</v>
      </c>
      <c r="PA59" s="1022"/>
      <c r="PB59" s="1022"/>
      <c r="PC59" s="1022"/>
      <c r="PD59" s="1022"/>
      <c r="PE59" s="1022"/>
      <c r="PF59" s="1022"/>
      <c r="PG59" s="902">
        <f t="shared" si="485"/>
        <v>0</v>
      </c>
      <c r="PH59" s="1022">
        <f t="shared" ref="PH59:PK59" si="513">PZ37</f>
        <v>11386083.33</v>
      </c>
      <c r="PI59" s="1022">
        <f t="shared" si="513"/>
        <v>29278500</v>
      </c>
      <c r="PJ59" s="1022">
        <f t="shared" si="513"/>
        <v>1277522.67</v>
      </c>
      <c r="PK59" s="1022">
        <f t="shared" si="513"/>
        <v>3285058.3099999996</v>
      </c>
      <c r="PL59" s="1022">
        <f>QD37</f>
        <v>570111.11</v>
      </c>
      <c r="PM59" s="1022">
        <f>QE37</f>
        <v>1466000</v>
      </c>
      <c r="PN59" s="1022">
        <f>QF37</f>
        <v>0</v>
      </c>
      <c r="PO59" s="1022">
        <f>QG37</f>
        <v>0</v>
      </c>
      <c r="PP59" s="902">
        <f t="shared" si="488"/>
        <v>0</v>
      </c>
      <c r="PQ59" s="1022">
        <f t="shared" ref="PQ59:PT59" si="514">QI37</f>
        <v>9437667.6100000031</v>
      </c>
      <c r="PR59" s="1022">
        <f t="shared" si="514"/>
        <v>24268288.16</v>
      </c>
      <c r="PS59" s="1022">
        <f t="shared" si="514"/>
        <v>1250756.48</v>
      </c>
      <c r="PT59" s="1022">
        <f t="shared" si="514"/>
        <v>3216230.96</v>
      </c>
      <c r="PU59" s="1022">
        <f>QM37</f>
        <v>0</v>
      </c>
      <c r="PV59" s="1022">
        <f>QN37</f>
        <v>0</v>
      </c>
      <c r="PW59" s="1022">
        <f>QO37</f>
        <v>0</v>
      </c>
      <c r="PX59" s="1022">
        <f>QP37</f>
        <v>0</v>
      </c>
      <c r="PY59" s="218"/>
      <c r="PZ59" s="218"/>
      <c r="QA59" s="218"/>
      <c r="QB59" s="218"/>
      <c r="QC59" s="218"/>
      <c r="QD59" s="218"/>
      <c r="QE59" s="218"/>
      <c r="QF59" s="218"/>
      <c r="QG59" s="218"/>
      <c r="QH59" s="218"/>
      <c r="QI59" s="218"/>
      <c r="QJ59" s="218"/>
      <c r="QK59" s="218"/>
      <c r="QL59" s="218"/>
      <c r="QM59" s="218"/>
      <c r="QN59" s="218"/>
      <c r="QO59" s="218"/>
      <c r="QP59" s="218"/>
      <c r="QQ59" s="218"/>
      <c r="QR59" s="218"/>
      <c r="QS59" s="218"/>
      <c r="QT59" s="218"/>
      <c r="QU59" s="218"/>
      <c r="QV59" s="218"/>
      <c r="QW59" s="218"/>
      <c r="QX59" s="218"/>
      <c r="QY59" s="218"/>
      <c r="QZ59" s="218"/>
      <c r="RA59" s="218"/>
      <c r="RB59" s="218"/>
      <c r="RC59" s="218"/>
      <c r="RD59" s="218"/>
      <c r="RE59" s="218"/>
      <c r="RF59" s="218"/>
      <c r="RG59" s="218"/>
      <c r="RH59" s="218"/>
      <c r="RI59" s="218"/>
      <c r="RJ59" s="218"/>
      <c r="RK59" s="218"/>
      <c r="RL59" s="218"/>
      <c r="RM59" s="218"/>
      <c r="RN59" s="218"/>
      <c r="RO59" s="218"/>
      <c r="RP59" s="218"/>
      <c r="RQ59" s="218"/>
      <c r="RR59" s="218"/>
      <c r="RS59" s="218"/>
      <c r="RT59" s="218"/>
      <c r="RU59" s="218"/>
      <c r="RV59" s="218"/>
      <c r="RW59" s="218"/>
      <c r="RX59" s="218"/>
      <c r="RY59" s="218"/>
      <c r="RZ59" s="218"/>
      <c r="SA59" s="218"/>
      <c r="SB59" s="218"/>
      <c r="SC59" s="218"/>
      <c r="SD59" s="218"/>
      <c r="SE59" s="218"/>
      <c r="SF59" s="218"/>
      <c r="SG59" s="218"/>
      <c r="SH59" s="218"/>
      <c r="SI59" s="218"/>
      <c r="SJ59" s="218"/>
      <c r="SK59" s="218"/>
      <c r="SL59" s="218"/>
      <c r="SM59" s="218"/>
      <c r="SN59" s="218"/>
      <c r="SO59" s="218"/>
      <c r="SP59" s="218"/>
      <c r="SQ59" s="218"/>
      <c r="SR59" s="218"/>
      <c r="SS59" s="218"/>
      <c r="ST59" s="218"/>
      <c r="SU59" s="218"/>
      <c r="SV59" s="218"/>
      <c r="SW59" s="218"/>
      <c r="SX59" s="218"/>
      <c r="SY59" s="218"/>
      <c r="SZ59" s="218"/>
      <c r="TA59" s="218"/>
      <c r="TB59" s="218"/>
      <c r="TC59" s="218"/>
      <c r="TD59" s="218"/>
      <c r="TE59" s="218"/>
      <c r="TF59" s="218"/>
      <c r="TG59" s="218"/>
      <c r="TH59" s="218"/>
      <c r="TI59" s="218"/>
      <c r="TJ59" s="218"/>
      <c r="TK59" s="218"/>
      <c r="TL59" s="218"/>
      <c r="TM59" s="218"/>
      <c r="TN59" s="218"/>
      <c r="TO59" s="218"/>
      <c r="TP59" s="218"/>
      <c r="TQ59" s="218"/>
      <c r="TR59" s="218"/>
      <c r="TS59" s="218"/>
      <c r="TT59" s="218"/>
      <c r="TU59" s="218"/>
      <c r="TV59" s="218"/>
      <c r="TW59" s="218"/>
      <c r="TX59" s="218"/>
      <c r="TY59" s="218"/>
      <c r="TZ59" s="218"/>
      <c r="UA59" s="218"/>
      <c r="UB59" s="218"/>
      <c r="UC59" s="218"/>
      <c r="UD59" s="218"/>
      <c r="UE59" s="218"/>
      <c r="UF59" s="218"/>
      <c r="UG59" s="218"/>
      <c r="UH59" s="218"/>
      <c r="UI59" s="218"/>
      <c r="UJ59" s="218"/>
      <c r="UK59" s="218"/>
      <c r="UL59" s="218"/>
      <c r="UM59" s="218"/>
      <c r="UN59" s="218"/>
      <c r="UO59" s="218"/>
      <c r="UP59" s="218"/>
      <c r="UQ59" s="218"/>
      <c r="UR59" s="218"/>
      <c r="US59" s="218"/>
      <c r="UT59" s="218"/>
      <c r="UU59" s="218"/>
      <c r="UV59" s="218"/>
      <c r="UW59" s="218"/>
      <c r="UX59" s="218"/>
      <c r="UY59" s="218"/>
      <c r="UZ59" s="218"/>
      <c r="VA59" s="218"/>
      <c r="VB59" s="218"/>
      <c r="VC59" s="218"/>
      <c r="VD59" s="218"/>
      <c r="VE59" s="218"/>
      <c r="VF59" s="218"/>
      <c r="VG59" s="218"/>
      <c r="VH59" s="218"/>
      <c r="VI59" s="218"/>
      <c r="VJ59" s="218"/>
      <c r="VK59" s="218"/>
      <c r="VL59" s="218"/>
      <c r="VM59" s="218"/>
      <c r="VN59" s="218"/>
      <c r="VO59" s="218"/>
      <c r="VP59" s="218"/>
      <c r="VQ59" s="218"/>
      <c r="VR59" s="218"/>
      <c r="VS59" s="218"/>
      <c r="VT59" s="218"/>
      <c r="VU59" s="218"/>
      <c r="VV59" s="218"/>
      <c r="VW59" s="218"/>
      <c r="VX59" s="218"/>
      <c r="VY59" s="218"/>
      <c r="VZ59" s="218"/>
      <c r="WA59" s="218"/>
      <c r="WB59" s="218"/>
      <c r="WC59" s="218"/>
      <c r="WD59" s="218"/>
      <c r="WE59" s="218"/>
      <c r="WF59" s="218"/>
      <c r="WG59" s="218"/>
      <c r="WH59" s="218"/>
    </row>
    <row r="60" spans="1:606" s="1019" customFormat="1" x14ac:dyDescent="0.3">
      <c r="A60" s="1012" t="s">
        <v>67</v>
      </c>
      <c r="B60" s="1015">
        <f>NU60+OA60+DE60+DM60+DU60+FU60+GA60+HE60+HW60+'Проверочная  таблица'!JY60+'Прочая  субсидия_БП'!F29+CG60+CQ60+PG60+AK60+AW60+GY60</f>
        <v>130306662.43000001</v>
      </c>
      <c r="C60" s="1015">
        <f>NX60+OD60+DF60+DN60+EC60+FX60+GD60+HN60+IF60+'Проверочная  таблица'!KD60+'Прочая  субсидия_МР  и  ГО'!C49+'Прочая  субсидия_БП'!G29+CL60+CV60+PP60+BC60+AQ60+HB60</f>
        <v>88593827.269999996</v>
      </c>
      <c r="D60" s="1193">
        <f t="shared" si="490"/>
        <v>130306.66243000001</v>
      </c>
      <c r="E60" s="1193">
        <f t="shared" si="490"/>
        <v>88593.827269999994</v>
      </c>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902">
        <f t="shared" si="465"/>
        <v>0</v>
      </c>
      <c r="AL60" s="1022"/>
      <c r="AM60" s="218"/>
      <c r="AN60" s="218"/>
      <c r="AO60" s="1022"/>
      <c r="AP60" s="1022"/>
      <c r="AQ60" s="902">
        <f t="shared" si="467"/>
        <v>0</v>
      </c>
      <c r="AR60" s="1022"/>
      <c r="AS60" s="218"/>
      <c r="AT60" s="218"/>
      <c r="AU60" s="1022"/>
      <c r="AV60" s="1022"/>
      <c r="AW60" s="902">
        <f t="shared" si="470"/>
        <v>0</v>
      </c>
      <c r="AX60" s="1022">
        <f>BV37</f>
        <v>0</v>
      </c>
      <c r="AY60" s="218"/>
      <c r="AZ60" s="1022"/>
      <c r="BA60" s="1022">
        <f>BY37</f>
        <v>0</v>
      </c>
      <c r="BB60" s="1022">
        <f>BZ37</f>
        <v>0</v>
      </c>
      <c r="BC60" s="902">
        <f t="shared" si="473"/>
        <v>0</v>
      </c>
      <c r="BD60" s="1022">
        <f>CB37</f>
        <v>0</v>
      </c>
      <c r="BE60" s="218"/>
      <c r="BF60" s="1022"/>
      <c r="BG60" s="1022">
        <f>CE37</f>
        <v>0</v>
      </c>
      <c r="BH60" s="1022">
        <f>CF37</f>
        <v>0</v>
      </c>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21"/>
      <c r="CH60" s="218"/>
      <c r="CI60" s="218"/>
      <c r="CJ60" s="218"/>
      <c r="CK60"/>
      <c r="CL60" s="221"/>
      <c r="CM60" s="218"/>
      <c r="CN60" s="218"/>
      <c r="CO60" s="218"/>
      <c r="CP60"/>
      <c r="CQ60" s="221">
        <f>CR37</f>
        <v>15459000</v>
      </c>
      <c r="CR60" s="218"/>
      <c r="CS60" s="218"/>
      <c r="CT60" s="218"/>
      <c r="CU60"/>
      <c r="CV60" s="221">
        <f>CW37</f>
        <v>0</v>
      </c>
      <c r="CW60" s="218"/>
      <c r="CX60" s="218"/>
      <c r="CY60" s="218"/>
      <c r="CZ60"/>
      <c r="DA60" s="218"/>
      <c r="DB60" s="218"/>
      <c r="DC60" s="218"/>
      <c r="DD60" s="218"/>
      <c r="DE60" s="221">
        <f>DK37</f>
        <v>50673367.840000004</v>
      </c>
      <c r="DF60" s="221">
        <f>DL37</f>
        <v>25988724.43</v>
      </c>
      <c r="DG60" s="218"/>
      <c r="DH60" s="218"/>
      <c r="DI60" s="218"/>
      <c r="DJ60" s="218"/>
      <c r="DK60" s="218"/>
      <c r="DL60" s="218"/>
      <c r="DM60" s="221">
        <f>DS37</f>
        <v>2667019.3600000003</v>
      </c>
      <c r="DN60" s="221">
        <f>DT37</f>
        <v>1367827.6099999999</v>
      </c>
      <c r="DO60" s="218"/>
      <c r="DP60" s="218"/>
      <c r="DQ60" s="218"/>
      <c r="DR60" s="218"/>
      <c r="DS60" s="218"/>
      <c r="DT60" s="218"/>
      <c r="DU60" s="221"/>
      <c r="DV60" s="218"/>
      <c r="DW60" s="218"/>
      <c r="DX60" s="218"/>
      <c r="DY60" s="218"/>
      <c r="DZ60" s="218"/>
      <c r="EA60" s="218"/>
      <c r="EB60" s="218"/>
      <c r="EC60" s="221"/>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21"/>
      <c r="FV60" s="218"/>
      <c r="FW60" s="218"/>
      <c r="FX60" s="221"/>
      <c r="FY60" s="218"/>
      <c r="FZ60" s="218"/>
      <c r="GA60" s="221">
        <f>'Проверочная  таблица'!GS37</f>
        <v>1350000</v>
      </c>
      <c r="GB60" s="221"/>
      <c r="GC60" s="221"/>
      <c r="GD60" s="221">
        <f>'Проверочная  таблица'!GV37</f>
        <v>1350000</v>
      </c>
      <c r="GE60" s="221"/>
      <c r="GF60" s="221"/>
      <c r="GG60" s="218"/>
      <c r="GH60" s="218"/>
      <c r="GI60" s="218"/>
      <c r="GJ60" s="218"/>
      <c r="GK60" s="218"/>
      <c r="GL60" s="218"/>
      <c r="GY60" s="902">
        <f t="shared" si="475"/>
        <v>0</v>
      </c>
      <c r="GZ60" s="1013"/>
      <c r="HB60" s="902">
        <f t="shared" si="477"/>
        <v>0</v>
      </c>
      <c r="HC60" s="1013"/>
      <c r="HE60" s="1020">
        <f>SUM(HF60:HM60)</f>
        <v>0</v>
      </c>
      <c r="HF60" s="218"/>
      <c r="HG60" s="218"/>
      <c r="HH60" s="1013"/>
      <c r="HI60" s="218"/>
      <c r="HJ60" s="218"/>
      <c r="HK60" s="218"/>
      <c r="HL60" s="1013"/>
      <c r="HM60" s="218"/>
      <c r="HN60" s="1020">
        <f>SUM(HO60:HV60)</f>
        <v>0</v>
      </c>
      <c r="HO60" s="218"/>
      <c r="HP60" s="218"/>
      <c r="HQ60" s="1013"/>
      <c r="HR60" s="218"/>
      <c r="HS60" s="218"/>
      <c r="HT60" s="218"/>
      <c r="HU60" s="1013"/>
      <c r="HV60" s="218"/>
      <c r="HW60" s="1020">
        <f>SUM(HX60:IE60)</f>
        <v>117068.23000000001</v>
      </c>
      <c r="HX60" s="218"/>
      <c r="HY60" s="218"/>
      <c r="HZ60" s="1013">
        <f>JJ37+JK37</f>
        <v>117068.23000000001</v>
      </c>
      <c r="IA60" s="218"/>
      <c r="IB60" s="218"/>
      <c r="IC60" s="218"/>
      <c r="ID60" s="1013">
        <f>JN37+JO37</f>
        <v>0</v>
      </c>
      <c r="IE60" s="218"/>
      <c r="IF60" s="1020">
        <f>SUM(IG60:IN60)</f>
        <v>117068.23000000001</v>
      </c>
      <c r="IG60" s="218"/>
      <c r="IH60" s="218"/>
      <c r="II60" s="1013">
        <f>JS37+JT37</f>
        <v>117068.23000000001</v>
      </c>
      <c r="IJ60" s="218"/>
      <c r="IK60" s="218"/>
      <c r="IL60" s="218"/>
      <c r="IM60" s="1013">
        <f>JW37+JX37</f>
        <v>0</v>
      </c>
      <c r="IN60" s="218"/>
      <c r="IO60" s="218"/>
      <c r="IP60" s="218"/>
      <c r="IQ60" s="218"/>
      <c r="IR60" s="218"/>
      <c r="IS60" s="218"/>
      <c r="IT60" s="218"/>
      <c r="IU60" s="218"/>
      <c r="IV60" s="218"/>
      <c r="IW60" s="218"/>
      <c r="IX60" s="218"/>
      <c r="IY60" s="218"/>
      <c r="IZ60" s="218"/>
      <c r="JA60" s="218"/>
      <c r="JB60" s="218"/>
      <c r="JC60" s="218"/>
      <c r="JD60" s="218"/>
      <c r="JE60" s="218"/>
      <c r="JF60" s="218"/>
      <c r="JG60" s="218"/>
      <c r="JH60" s="218"/>
      <c r="JI60" s="218"/>
      <c r="JJ60" s="218"/>
      <c r="JK60" s="218"/>
      <c r="JL60" s="218"/>
      <c r="JM60" s="218"/>
      <c r="JN60" s="218"/>
      <c r="JO60" s="218"/>
      <c r="JP60" s="218"/>
      <c r="JQ60" s="218"/>
      <c r="JR60" s="218"/>
      <c r="JS60" s="218"/>
      <c r="JT60" s="218"/>
      <c r="JU60" s="218"/>
      <c r="JV60" s="218"/>
      <c r="JW60" s="218"/>
      <c r="JX60" s="218"/>
      <c r="JY60" s="218"/>
      <c r="JZ60" s="218"/>
      <c r="KA60" s="218"/>
      <c r="KB60" s="218"/>
      <c r="KC60" s="218"/>
      <c r="KD60" s="218"/>
      <c r="KE60" s="218"/>
      <c r="KF60"/>
      <c r="KG60"/>
      <c r="KH60"/>
      <c r="KI60"/>
      <c r="KJ60"/>
      <c r="KK60"/>
      <c r="KL60"/>
      <c r="KM60" s="218"/>
      <c r="KN60" s="218"/>
      <c r="KO60"/>
      <c r="KP60"/>
      <c r="KQ60"/>
      <c r="KR60"/>
      <c r="KS60" s="218"/>
      <c r="KT60" s="218"/>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s="218"/>
      <c r="MZ60" s="218"/>
      <c r="NA60" s="218"/>
      <c r="NB60" s="218"/>
      <c r="NC60" s="218"/>
      <c r="ND60" s="218"/>
      <c r="NE60" s="218"/>
      <c r="NF60" s="218"/>
      <c r="NG60" s="218"/>
      <c r="NH60" s="218"/>
      <c r="NI60" s="218"/>
      <c r="NJ60" s="218"/>
      <c r="NK60" s="218"/>
      <c r="NL60" s="218"/>
      <c r="NM60" s="218"/>
      <c r="NN60" s="218"/>
      <c r="NO60" s="218"/>
      <c r="NP60" s="218"/>
      <c r="NQ60" s="218"/>
      <c r="NR60" s="218"/>
      <c r="NS60" s="218"/>
      <c r="NT60" s="218"/>
      <c r="NU60" s="902">
        <f t="shared" si="479"/>
        <v>0</v>
      </c>
      <c r="NV60" s="1022"/>
      <c r="NW60" s="1022"/>
      <c r="NX60" s="902">
        <f t="shared" si="480"/>
        <v>0</v>
      </c>
      <c r="NY60" s="1022"/>
      <c r="NZ60" s="1022"/>
      <c r="OA60" s="221"/>
      <c r="OD60" s="221"/>
      <c r="OG60" s="218"/>
      <c r="OH60" s="218"/>
      <c r="OI60" s="218"/>
      <c r="OJ60" s="218"/>
      <c r="OK60" s="218"/>
      <c r="OL60" s="218"/>
      <c r="OM60" s="218"/>
      <c r="ON60" s="218"/>
      <c r="OO60" s="218"/>
      <c r="OP60" s="218"/>
      <c r="OQ60" s="218"/>
      <c r="OR60" s="218"/>
      <c r="OS60" s="902">
        <f t="shared" si="481"/>
        <v>0</v>
      </c>
      <c r="OT60" s="1022"/>
      <c r="OU60" s="1022"/>
      <c r="OV60" s="1022"/>
      <c r="OW60" s="1022"/>
      <c r="OX60" s="1022"/>
      <c r="OY60" s="1022"/>
      <c r="OZ60" s="902">
        <f t="shared" si="483"/>
        <v>0</v>
      </c>
      <c r="PA60" s="1022"/>
      <c r="PB60" s="1022"/>
      <c r="PC60" s="1022"/>
      <c r="PD60" s="1022"/>
      <c r="PE60" s="1022"/>
      <c r="PF60" s="1022"/>
      <c r="PG60" s="902">
        <f t="shared" si="485"/>
        <v>0</v>
      </c>
      <c r="PH60" s="1022">
        <f t="shared" ref="PH60:PK60" si="515">QR37</f>
        <v>0</v>
      </c>
      <c r="PI60" s="1022">
        <f t="shared" si="515"/>
        <v>0</v>
      </c>
      <c r="PJ60" s="1022">
        <f t="shared" si="515"/>
        <v>0</v>
      </c>
      <c r="PK60" s="1022">
        <f t="shared" si="515"/>
        <v>0</v>
      </c>
      <c r="PL60" s="1022">
        <f>QV37</f>
        <v>0</v>
      </c>
      <c r="PM60" s="1022">
        <f>QW37</f>
        <v>0</v>
      </c>
      <c r="PN60" s="1022">
        <f t="shared" ref="PN60:PO60" si="516">QX37</f>
        <v>0</v>
      </c>
      <c r="PO60" s="1022">
        <f t="shared" si="516"/>
        <v>0</v>
      </c>
      <c r="PP60" s="902">
        <f t="shared" si="488"/>
        <v>0</v>
      </c>
      <c r="PQ60" s="1022">
        <f>RA37</f>
        <v>0</v>
      </c>
      <c r="PR60" s="1022">
        <f t="shared" ref="PR60:PT60" si="517">RB37</f>
        <v>0</v>
      </c>
      <c r="PS60" s="1022">
        <f t="shared" si="517"/>
        <v>0</v>
      </c>
      <c r="PT60" s="1022">
        <f t="shared" si="517"/>
        <v>0</v>
      </c>
      <c r="PU60" s="1022">
        <f>RE37</f>
        <v>0</v>
      </c>
      <c r="PV60" s="1022">
        <f>RF37</f>
        <v>0</v>
      </c>
      <c r="PW60" s="1022">
        <f t="shared" ref="PW60:PX60" si="518">RG37</f>
        <v>0</v>
      </c>
      <c r="PX60" s="1022">
        <f t="shared" si="518"/>
        <v>0</v>
      </c>
      <c r="PY60" s="218"/>
      <c r="PZ60" s="218"/>
      <c r="QA60" s="218"/>
      <c r="QB60" s="218"/>
      <c r="QC60" s="218"/>
      <c r="QD60" s="218"/>
      <c r="QE60" s="218"/>
      <c r="QF60" s="218"/>
      <c r="QG60" s="218"/>
      <c r="QH60" s="218"/>
      <c r="QI60" s="218"/>
      <c r="QJ60" s="218"/>
      <c r="QK60" s="218"/>
      <c r="QL60" s="218"/>
      <c r="QM60" s="218"/>
      <c r="QN60" s="218"/>
      <c r="QO60" s="218"/>
      <c r="QP60" s="218"/>
      <c r="QQ60" s="218"/>
      <c r="QR60" s="218"/>
      <c r="QS60" s="218"/>
      <c r="QT60" s="218"/>
      <c r="QU60" s="218"/>
      <c r="QV60" s="218"/>
      <c r="QW60" s="218"/>
      <c r="QX60" s="218"/>
      <c r="QY60" s="218"/>
      <c r="QZ60" s="218"/>
      <c r="RA60" s="218"/>
      <c r="RB60" s="218"/>
      <c r="RC60" s="218"/>
      <c r="RD60" s="218"/>
      <c r="RE60" s="218"/>
      <c r="RF60" s="218"/>
      <c r="RG60" s="218"/>
      <c r="RH60" s="218"/>
      <c r="RI60" s="218"/>
      <c r="RJ60" s="218"/>
      <c r="RK60" s="218"/>
      <c r="RL60" s="218"/>
      <c r="RM60" s="218"/>
      <c r="RN60" s="218"/>
      <c r="RO60" s="218"/>
      <c r="RP60" s="218"/>
      <c r="RQ60" s="218"/>
      <c r="RR60" s="218"/>
      <c r="RS60" s="218"/>
      <c r="RT60" s="218"/>
      <c r="RU60" s="218"/>
      <c r="RV60" s="218"/>
      <c r="RW60" s="218"/>
      <c r="RX60" s="218"/>
      <c r="RY60" s="218"/>
      <c r="RZ60" s="218"/>
      <c r="SA60" s="218"/>
      <c r="SB60" s="218"/>
      <c r="SC60" s="218"/>
      <c r="SD60" s="218"/>
      <c r="SE60" s="218"/>
      <c r="SF60" s="218"/>
      <c r="SG60" s="218"/>
      <c r="SH60" s="218"/>
      <c r="SI60" s="218"/>
      <c r="SJ60" s="218"/>
      <c r="SK60" s="218"/>
      <c r="SL60" s="218"/>
      <c r="SM60" s="218"/>
      <c r="SN60" s="218"/>
      <c r="SO60" s="218"/>
      <c r="SP60" s="218"/>
      <c r="SQ60" s="218"/>
      <c r="SR60" s="218"/>
      <c r="SS60" s="218"/>
      <c r="ST60" s="218"/>
      <c r="SU60" s="218"/>
      <c r="SV60" s="218"/>
      <c r="SW60" s="218"/>
      <c r="SX60" s="218"/>
      <c r="SY60" s="218"/>
      <c r="SZ60" s="218"/>
      <c r="TA60" s="218"/>
      <c r="TB60" s="218"/>
      <c r="TC60" s="218"/>
      <c r="TD60" s="218"/>
      <c r="TE60" s="218"/>
      <c r="TF60" s="218"/>
      <c r="TG60" s="218"/>
      <c r="TH60" s="218"/>
      <c r="TI60" s="218"/>
      <c r="TJ60" s="218"/>
      <c r="TK60" s="218"/>
      <c r="TL60" s="218"/>
      <c r="TM60" s="218"/>
      <c r="TN60" s="218"/>
      <c r="TO60" s="218"/>
      <c r="TP60" s="218"/>
      <c r="TQ60" s="218"/>
      <c r="TR60" s="218"/>
      <c r="TS60" s="218"/>
      <c r="TT60" s="218"/>
      <c r="TU60" s="218"/>
      <c r="TV60" s="218"/>
      <c r="TW60" s="218"/>
      <c r="TX60" s="218"/>
      <c r="TY60" s="218"/>
      <c r="TZ60" s="218"/>
      <c r="UA60" s="218"/>
      <c r="UB60" s="218"/>
      <c r="UC60" s="218"/>
      <c r="UD60" s="218"/>
      <c r="UE60" s="218"/>
      <c r="UF60" s="218"/>
      <c r="UG60" s="218"/>
      <c r="UH60" s="218"/>
      <c r="UI60" s="218"/>
      <c r="UJ60" s="218"/>
      <c r="UK60" s="218"/>
      <c r="UL60" s="218"/>
      <c r="UM60" s="218"/>
      <c r="UN60" s="218"/>
      <c r="UO60" s="218"/>
      <c r="UP60" s="218"/>
      <c r="UQ60" s="218"/>
      <c r="UR60" s="218"/>
      <c r="US60" s="218"/>
      <c r="UT60" s="218"/>
      <c r="UU60" s="218"/>
      <c r="UV60" s="218"/>
      <c r="UW60" s="218"/>
      <c r="UX60" s="218"/>
      <c r="UY60" s="218"/>
      <c r="UZ60" s="218"/>
      <c r="VA60" s="218"/>
      <c r="VB60" s="218"/>
      <c r="VC60" s="218"/>
      <c r="VD60" s="218"/>
      <c r="VE60" s="218"/>
      <c r="VF60" s="218"/>
      <c r="VG60" s="218"/>
      <c r="VH60" s="218"/>
      <c r="VI60" s="218"/>
      <c r="VJ60" s="218"/>
      <c r="VK60" s="218"/>
      <c r="VL60" s="218"/>
      <c r="VM60" s="218"/>
      <c r="VN60" s="218"/>
      <c r="VO60" s="218"/>
      <c r="VP60" s="218"/>
      <c r="VQ60" s="218"/>
      <c r="VR60" s="218"/>
      <c r="VS60" s="218"/>
      <c r="VT60" s="218"/>
      <c r="VU60" s="218"/>
      <c r="VV60" s="218"/>
      <c r="VW60" s="218"/>
      <c r="VX60" s="218"/>
      <c r="VY60" s="218"/>
      <c r="VZ60" s="218"/>
      <c r="WA60" s="218"/>
      <c r="WB60" s="218"/>
      <c r="WC60" s="218"/>
      <c r="WD60" s="218"/>
      <c r="WE60" s="218"/>
      <c r="WF60" s="218"/>
      <c r="WG60" s="218"/>
      <c r="WH60" s="218"/>
    </row>
    <row r="61" spans="1:606" x14ac:dyDescent="0.3">
      <c r="B61" s="434">
        <f>B56-B59-B60</f>
        <v>0</v>
      </c>
      <c r="C61" s="434">
        <f>C56-C59-C60</f>
        <v>-7961653.7199999839</v>
      </c>
      <c r="AK61" s="902">
        <f t="shared" si="465"/>
        <v>0</v>
      </c>
      <c r="AL61" s="1022">
        <f>SUM(NV61:NX61)</f>
        <v>0</v>
      </c>
      <c r="AO61" s="1022">
        <f>SUM(AP61:NZ61)</f>
        <v>0</v>
      </c>
      <c r="AP61" s="1022">
        <f>SUM(NX61:NZ61)</f>
        <v>0</v>
      </c>
      <c r="AQ61" s="902">
        <f t="shared" si="467"/>
        <v>0</v>
      </c>
      <c r="AR61" s="1022">
        <f>SUM(NY61:OC61)</f>
        <v>0</v>
      </c>
      <c r="AU61" s="1022">
        <f>SUM(AV61:PM61)</f>
        <v>0</v>
      </c>
      <c r="AV61" s="1022">
        <f>SUM(OA61:OE61)</f>
        <v>0</v>
      </c>
      <c r="AW61" s="902">
        <f t="shared" si="470"/>
        <v>0</v>
      </c>
      <c r="AX61" s="1022"/>
      <c r="AZ61" s="1022"/>
      <c r="BA61" s="1022"/>
      <c r="BB61" s="1022"/>
      <c r="BC61" s="902">
        <f t="shared" si="473"/>
        <v>0</v>
      </c>
      <c r="BD61" s="1022"/>
      <c r="BF61" s="1022"/>
      <c r="BG61" s="1022"/>
      <c r="BH61" s="1022"/>
      <c r="CG61" s="221">
        <f>CG56-CG59-CG60</f>
        <v>0</v>
      </c>
      <c r="CL61" s="221">
        <f>CL56-CL59-CL60</f>
        <v>0</v>
      </c>
      <c r="CQ61" s="221">
        <f>CQ56-CQ59-CQ60</f>
        <v>0</v>
      </c>
      <c r="CV61" s="221">
        <f>CV56-CV59-CV60</f>
        <v>0</v>
      </c>
      <c r="DE61" s="221">
        <f>DE56-DE59-DE60</f>
        <v>0</v>
      </c>
      <c r="DF61" s="221">
        <f>DF56-DF59-DF60</f>
        <v>0</v>
      </c>
      <c r="DM61" s="221">
        <f>DM56-DM59-DM60</f>
        <v>0</v>
      </c>
      <c r="DN61" s="221">
        <f>DN56-DN59-DN60</f>
        <v>0</v>
      </c>
      <c r="DU61" s="221">
        <f>DU56-DU59-DU60</f>
        <v>0</v>
      </c>
      <c r="EC61" s="221">
        <f>EC56-EC59-EC60</f>
        <v>0</v>
      </c>
      <c r="FU61" s="221">
        <f>FU56-FU59-FU60</f>
        <v>0</v>
      </c>
      <c r="FX61" s="221">
        <f>FX56-FX59-FX60</f>
        <v>0</v>
      </c>
      <c r="GA61" s="221">
        <f>GA56-GA59-GA60</f>
        <v>0</v>
      </c>
      <c r="GB61" s="221"/>
      <c r="GC61" s="221"/>
      <c r="GD61" s="221">
        <f>GD56-GD59-GD60</f>
        <v>0</v>
      </c>
      <c r="GY61" s="902">
        <f t="shared" si="475"/>
        <v>0</v>
      </c>
      <c r="GZ61" s="1021">
        <f t="shared" ref="GZ61" si="519">GZ56-GZ59-GZ60</f>
        <v>0</v>
      </c>
      <c r="HB61" s="902">
        <f t="shared" si="477"/>
        <v>0</v>
      </c>
      <c r="HC61" s="1021">
        <f t="shared" ref="HC61" si="520">HC56-HC59-HC60</f>
        <v>0</v>
      </c>
      <c r="HE61" s="434">
        <f>HE56-HE59-HE60</f>
        <v>0</v>
      </c>
      <c r="HH61" s="1021">
        <f>HH56-HH59-HH60</f>
        <v>0</v>
      </c>
      <c r="HL61" s="1021">
        <f>HL56-HL59-HL60</f>
        <v>0</v>
      </c>
      <c r="HQ61" s="1021">
        <f>HQ56-HQ59-HQ60</f>
        <v>0</v>
      </c>
      <c r="HU61" s="1021">
        <f>HU56-HU59-HU60</f>
        <v>0</v>
      </c>
      <c r="JY61" s="434">
        <f>JY56-JY59-JY60</f>
        <v>0</v>
      </c>
      <c r="JZ61" s="434">
        <f>JZ56-JZ59-JZ60</f>
        <v>0</v>
      </c>
      <c r="KA61" s="434">
        <f>KA56-KA59-KA60</f>
        <v>0</v>
      </c>
      <c r="KB61" s="434"/>
      <c r="KC61" s="434"/>
      <c r="KD61" s="434">
        <f>KD56-KD59-KD60</f>
        <v>0</v>
      </c>
      <c r="NU61" s="902">
        <f t="shared" si="479"/>
        <v>0</v>
      </c>
      <c r="NV61" s="1022"/>
      <c r="NW61" s="1022"/>
      <c r="NX61" s="902">
        <f t="shared" si="480"/>
        <v>0</v>
      </c>
      <c r="NY61" s="1022"/>
      <c r="NZ61" s="1022"/>
      <c r="OA61" s="221"/>
      <c r="OD61" s="221"/>
      <c r="OS61" s="902">
        <f t="shared" si="481"/>
        <v>0</v>
      </c>
      <c r="OT61" s="1022"/>
      <c r="OU61" s="1022"/>
      <c r="OV61" s="1022"/>
      <c r="OW61" s="1022"/>
      <c r="OX61" s="1022"/>
      <c r="OY61" s="1022"/>
      <c r="OZ61" s="902">
        <f t="shared" si="483"/>
        <v>0</v>
      </c>
      <c r="PA61" s="1022"/>
      <c r="PB61" s="1022"/>
      <c r="PC61" s="1022"/>
      <c r="PD61" s="1022"/>
      <c r="PE61" s="1022"/>
      <c r="PF61" s="1022"/>
      <c r="PG61" s="902">
        <f t="shared" si="485"/>
        <v>0</v>
      </c>
      <c r="PH61" s="1022"/>
      <c r="PI61" s="1022"/>
      <c r="PJ61" s="1022"/>
      <c r="PK61" s="1022"/>
      <c r="PL61" s="1022"/>
      <c r="PM61" s="1022"/>
      <c r="PN61" s="1022"/>
      <c r="PO61" s="1022"/>
      <c r="PP61" s="902">
        <f t="shared" si="488"/>
        <v>0</v>
      </c>
      <c r="PQ61" s="1022"/>
      <c r="PR61" s="1022"/>
      <c r="PS61" s="1022"/>
      <c r="PT61" s="1022"/>
      <c r="PU61" s="1022"/>
      <c r="PV61" s="1022"/>
      <c r="PW61" s="1022"/>
      <c r="PX61" s="1022"/>
    </row>
  </sheetData>
  <mergeCells count="272">
    <mergeCell ref="NU39:OP39"/>
    <mergeCell ref="AK39:CF39"/>
    <mergeCell ref="SW7:VN7"/>
    <mergeCell ref="MY8:NR8"/>
    <mergeCell ref="MY39:NR39"/>
    <mergeCell ref="LG8:MT8"/>
    <mergeCell ref="LG39:MT39"/>
    <mergeCell ref="VG10:VJ10"/>
    <mergeCell ref="VC9:VF10"/>
    <mergeCell ref="UY9:VB9"/>
    <mergeCell ref="UY10:VB10"/>
    <mergeCell ref="UY8:VN8"/>
    <mergeCell ref="VG9:VN9"/>
    <mergeCell ref="US39:UX39"/>
    <mergeCell ref="VK10:VN10"/>
    <mergeCell ref="UY39:VN39"/>
    <mergeCell ref="UI9:UN10"/>
    <mergeCell ref="UC9:UH9"/>
    <mergeCell ref="AI7:RR7"/>
    <mergeCell ref="CG9:CP9"/>
    <mergeCell ref="CG10:CP10"/>
    <mergeCell ref="UO10:UP10"/>
    <mergeCell ref="US8:UX8"/>
    <mergeCell ref="UQ10:UR10"/>
    <mergeCell ref="VO7:VO11"/>
    <mergeCell ref="VY7:WF8"/>
    <mergeCell ref="WE10:WF10"/>
    <mergeCell ref="VQ7:VX8"/>
    <mergeCell ref="VP7:VP11"/>
    <mergeCell ref="OS39:RH39"/>
    <mergeCell ref="RY8:RZ8"/>
    <mergeCell ref="RU8:RU11"/>
    <mergeCell ref="SI9:SJ9"/>
    <mergeCell ref="SC8:SD8"/>
    <mergeCell ref="US9:UX9"/>
    <mergeCell ref="US10:UX10"/>
    <mergeCell ref="RS7:SV7"/>
    <mergeCell ref="RS8:RS11"/>
    <mergeCell ref="SG9:SH9"/>
    <mergeCell ref="SO9:SP9"/>
    <mergeCell ref="SA10:SB10"/>
    <mergeCell ref="SA8:SB8"/>
    <mergeCell ref="RX8:RX11"/>
    <mergeCell ref="SA9:SB9"/>
    <mergeCell ref="RV8:RV11"/>
    <mergeCell ref="RT8:RT11"/>
    <mergeCell ref="SE8:SF8"/>
    <mergeCell ref="SK8:SL8"/>
    <mergeCell ref="SY8:TP8"/>
    <mergeCell ref="SC9:SD9"/>
    <mergeCell ref="SE9:SF10"/>
    <mergeCell ref="SO10:SP10"/>
    <mergeCell ref="UC8:UR8"/>
    <mergeCell ref="UO9:UR9"/>
    <mergeCell ref="UC39:UR39"/>
    <mergeCell ref="UC10:UH10"/>
    <mergeCell ref="SK10:SL10"/>
    <mergeCell ref="TQ8:UB8"/>
    <mergeCell ref="TQ10:TT10"/>
    <mergeCell ref="TQ9:TT9"/>
    <mergeCell ref="TU9:TX10"/>
    <mergeCell ref="TY9:UB9"/>
    <mergeCell ref="TY10:TZ10"/>
    <mergeCell ref="UA10:UB10"/>
    <mergeCell ref="TQ39:UB39"/>
    <mergeCell ref="RI39:RJ39"/>
    <mergeCell ref="RW8:RW11"/>
    <mergeCell ref="SI8:SJ8"/>
    <mergeCell ref="SG8:SH8"/>
    <mergeCell ref="SG10:SH10"/>
    <mergeCell ref="SY39:TP39"/>
    <mergeCell ref="SY9:TP9"/>
    <mergeCell ref="SX8:SX11"/>
    <mergeCell ref="SY10:TP10"/>
    <mergeCell ref="SW8:SW11"/>
    <mergeCell ref="SQ8:SV8"/>
    <mergeCell ref="SM10:SN10"/>
    <mergeCell ref="SQ9:SV9"/>
    <mergeCell ref="SQ10:SV10"/>
    <mergeCell ref="SO8:SP8"/>
    <mergeCell ref="SM8:SN8"/>
    <mergeCell ref="SM9:SN9"/>
    <mergeCell ref="SQ39:SV39"/>
    <mergeCell ref="RM39:RR39"/>
    <mergeCell ref="RK39:RL39"/>
    <mergeCell ref="SE39:SF39"/>
    <mergeCell ref="SI39:SJ39"/>
    <mergeCell ref="SK9:SL9"/>
    <mergeCell ref="SK39:SL39"/>
    <mergeCell ref="VY39:WF39"/>
    <mergeCell ref="WC9:WF9"/>
    <mergeCell ref="WC10:WD10"/>
    <mergeCell ref="VY10:VZ10"/>
    <mergeCell ref="WA9:WB10"/>
    <mergeCell ref="VY9:VZ9"/>
    <mergeCell ref="VQ39:VX39"/>
    <mergeCell ref="VS9:VT10"/>
    <mergeCell ref="VU9:VX9"/>
    <mergeCell ref="VU10:VV10"/>
    <mergeCell ref="VW10:VX10"/>
    <mergeCell ref="VQ9:VR9"/>
    <mergeCell ref="VQ10:VR10"/>
    <mergeCell ref="RY39:RZ39"/>
    <mergeCell ref="SC39:SD39"/>
    <mergeCell ref="SA39:SB39"/>
    <mergeCell ref="RY10:RZ10"/>
    <mergeCell ref="SI10:SJ10"/>
    <mergeCell ref="SO39:SP39"/>
    <mergeCell ref="SG39:SH39"/>
    <mergeCell ref="SM39:SN39"/>
    <mergeCell ref="SC10:SD10"/>
    <mergeCell ref="RY9:RZ9"/>
    <mergeCell ref="RI8:RJ8"/>
    <mergeCell ref="RI9:RJ9"/>
    <mergeCell ref="RI10:RJ10"/>
    <mergeCell ref="RQ10:RR10"/>
    <mergeCell ref="RK9:RL9"/>
    <mergeCell ref="RO10:RP10"/>
    <mergeCell ref="RO9:RR9"/>
    <mergeCell ref="OS8:RH8"/>
    <mergeCell ref="OS9:PF9"/>
    <mergeCell ref="PG9:PX10"/>
    <mergeCell ref="PY9:RH9"/>
    <mergeCell ref="OS10:PF10"/>
    <mergeCell ref="PY10:QP10"/>
    <mergeCell ref="QQ10:RH10"/>
    <mergeCell ref="RK8:RR8"/>
    <mergeCell ref="RK10:RL10"/>
    <mergeCell ref="RM9:RN10"/>
    <mergeCell ref="JY39:KH39"/>
    <mergeCell ref="HE8:JX8"/>
    <mergeCell ref="IO9:JX9"/>
    <mergeCell ref="JG10:JX10"/>
    <mergeCell ref="HE39:JX39"/>
    <mergeCell ref="IO10:JF10"/>
    <mergeCell ref="FU8:FZ8"/>
    <mergeCell ref="GA8:GX8"/>
    <mergeCell ref="GS10:GX10"/>
    <mergeCell ref="GA39:GX39"/>
    <mergeCell ref="GA9:GF9"/>
    <mergeCell ref="GA10:GF10"/>
    <mergeCell ref="GM9:GX9"/>
    <mergeCell ref="FU39:FZ39"/>
    <mergeCell ref="FU10:FZ10"/>
    <mergeCell ref="FU9:FZ9"/>
    <mergeCell ref="GY39:HD39"/>
    <mergeCell ref="FE39:FN39"/>
    <mergeCell ref="FO8:FT8"/>
    <mergeCell ref="FO9:FT9"/>
    <mergeCell ref="FO10:FT10"/>
    <mergeCell ref="FE8:FN8"/>
    <mergeCell ref="FE9:FN9"/>
    <mergeCell ref="FE10:FN10"/>
    <mergeCell ref="ES9:EX9"/>
    <mergeCell ref="FO39:FT39"/>
    <mergeCell ref="ES39:EX39"/>
    <mergeCell ref="EY8:FD8"/>
    <mergeCell ref="EY9:FD9"/>
    <mergeCell ref="EY10:FD10"/>
    <mergeCell ref="EY39:FD39"/>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F9:G9"/>
    <mergeCell ref="J10:K10"/>
    <mergeCell ref="D6:Q6"/>
    <mergeCell ref="G3:J3"/>
    <mergeCell ref="DS10:DT10"/>
    <mergeCell ref="DI9:DL9"/>
    <mergeCell ref="ME9:MX9"/>
    <mergeCell ref="NC9:NH10"/>
    <mergeCell ref="MY10:NB10"/>
    <mergeCell ref="MY9:NB9"/>
    <mergeCell ref="GM10:GR10"/>
    <mergeCell ref="HE9:HV9"/>
    <mergeCell ref="DU8:ER8"/>
    <mergeCell ref="EK9:EN10"/>
    <mergeCell ref="EO9:ER9"/>
    <mergeCell ref="EO10:EP10"/>
    <mergeCell ref="EQ10:ER10"/>
    <mergeCell ref="JY8:KH8"/>
    <mergeCell ref="AK8:CF8"/>
    <mergeCell ref="AK9:AV9"/>
    <mergeCell ref="AW9:BH10"/>
    <mergeCell ref="BI9:CF9"/>
    <mergeCell ref="AK10:AV10"/>
    <mergeCell ref="BI10:BT10"/>
    <mergeCell ref="BU10:CF10"/>
    <mergeCell ref="DE10:DF10"/>
    <mergeCell ref="DQ9:DT9"/>
    <mergeCell ref="F39:M39"/>
    <mergeCell ref="N39:U39"/>
    <mergeCell ref="AA39:AH39"/>
    <mergeCell ref="DU9:EJ9"/>
    <mergeCell ref="DM39:DT39"/>
    <mergeCell ref="V39:W39"/>
    <mergeCell ref="N8:U8"/>
    <mergeCell ref="R10:S10"/>
    <mergeCell ref="P9:Q10"/>
    <mergeCell ref="AG10:AH10"/>
    <mergeCell ref="DA9:DD9"/>
    <mergeCell ref="DC10:DD10"/>
    <mergeCell ref="CG8:DD8"/>
    <mergeCell ref="CQ9:CZ10"/>
    <mergeCell ref="CG39:DD39"/>
    <mergeCell ref="DU39:ER39"/>
    <mergeCell ref="N9:O9"/>
    <mergeCell ref="V10:Z10"/>
    <mergeCell ref="F10:G10"/>
    <mergeCell ref="T10:U10"/>
    <mergeCell ref="J9:M9"/>
    <mergeCell ref="DE8:DL8"/>
    <mergeCell ref="DQ10:DR10"/>
    <mergeCell ref="DU10:EJ10"/>
    <mergeCell ref="KI39:LF39"/>
    <mergeCell ref="GG9:GL10"/>
    <mergeCell ref="DK10:DL10"/>
    <mergeCell ref="NU8:OP8"/>
    <mergeCell ref="ES8:EX8"/>
    <mergeCell ref="DA10:DB10"/>
    <mergeCell ref="DE9:DF9"/>
    <mergeCell ref="DM8:DT8"/>
    <mergeCell ref="DE39:DL39"/>
    <mergeCell ref="DI10:DJ10"/>
    <mergeCell ref="DM9:DN9"/>
    <mergeCell ref="DO9:DP10"/>
    <mergeCell ref="DM10:DN10"/>
    <mergeCell ref="ES10:EX10"/>
    <mergeCell ref="LU9:MD10"/>
    <mergeCell ref="HW9:IN10"/>
    <mergeCell ref="NI10:NN10"/>
    <mergeCell ref="NO10:NT10"/>
    <mergeCell ref="MO10:MX10"/>
    <mergeCell ref="ME10:MN10"/>
    <mergeCell ref="HE10:HV10"/>
    <mergeCell ref="DG9:DH10"/>
    <mergeCell ref="OG9:OP9"/>
    <mergeCell ref="NI9:NT9"/>
    <mergeCell ref="OG10:OL10"/>
    <mergeCell ref="OM10:OR10"/>
    <mergeCell ref="OA9:OF10"/>
    <mergeCell ref="NU9:NZ9"/>
    <mergeCell ref="NU10:NZ10"/>
    <mergeCell ref="LG9:LT9"/>
    <mergeCell ref="LG10:LT10"/>
    <mergeCell ref="AI8:AI11"/>
    <mergeCell ref="AJ8:AJ11"/>
    <mergeCell ref="KI8:LF8"/>
    <mergeCell ref="KI9:KT9"/>
    <mergeCell ref="KI10:KT10"/>
    <mergeCell ref="KU9:LB10"/>
    <mergeCell ref="LC9:LF9"/>
    <mergeCell ref="LC10:LD10"/>
    <mergeCell ref="LE10:LF10"/>
    <mergeCell ref="JY9:KH9"/>
    <mergeCell ref="JY10:KH10"/>
    <mergeCell ref="GY8:HD8"/>
    <mergeCell ref="GY9:HD9"/>
    <mergeCell ref="GY10:HD10"/>
  </mergeCells>
  <phoneticPr fontId="0" type="noConversion"/>
  <pageMargins left="0.39370078740157483" right="0.39370078740157483" top="0.39370078740157483" bottom="0.39370078740157483" header="0.23622047244094491" footer="0.23622047244094491"/>
  <pageSetup paperSize="9" scale="31" fitToWidth="30" orientation="landscape" horizontalDpi="300" verticalDpi="300" r:id="rId1"/>
  <headerFooter alignWithMargins="0">
    <oddFooter>&amp;L&amp;P&amp;R&amp;F&amp;A</oddFooter>
  </headerFooter>
  <colBreaks count="12" manualBreakCount="12">
    <brk id="48" max="38" man="1"/>
    <brk id="110" max="38" man="1"/>
    <brk id="133" max="38" man="1"/>
    <brk id="180" max="38" man="1"/>
    <brk id="284" max="38" man="1"/>
    <brk id="352" max="38" man="1"/>
    <brk id="402" max="38" man="1"/>
    <brk id="482" max="38" man="1"/>
    <brk id="502" max="38" man="1"/>
    <brk id="544" max="38" man="1"/>
    <brk id="573" max="38" man="1"/>
    <brk id="596"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E21"/>
  <sheetViews>
    <sheetView zoomScale="90" zoomScaleNormal="90" workbookViewId="0">
      <pane xSplit="1" ySplit="7" topLeftCell="B14" activePane="bottomRight" state="frozen"/>
      <selection pane="topRight" activeCell="B1" sqref="B1"/>
      <selection pane="bottomLeft" activeCell="A6" sqref="A6"/>
      <selection pane="bottomRight" activeCell="D8" sqref="D8"/>
    </sheetView>
  </sheetViews>
  <sheetFormatPr defaultColWidth="9.21875" defaultRowHeight="13.2" x14ac:dyDescent="0.25"/>
  <cols>
    <col min="1" max="1" width="51.5546875" style="1" customWidth="1"/>
    <col min="2" max="2" width="15.5546875" style="1" customWidth="1"/>
    <col min="3" max="3" width="19.5546875" style="1" customWidth="1"/>
    <col min="4" max="4" width="18.77734375" style="1" customWidth="1"/>
    <col min="5" max="5" width="22.77734375" style="1" customWidth="1"/>
    <col min="6" max="16384" width="9.21875" style="1"/>
  </cols>
  <sheetData>
    <row r="2" spans="1:5" ht="13.8" x14ac:dyDescent="0.25">
      <c r="A2" s="1746" t="s">
        <v>387</v>
      </c>
      <c r="B2" s="1746"/>
      <c r="C2" s="1746"/>
      <c r="D2" s="1746"/>
      <c r="E2" s="1746"/>
    </row>
    <row r="3" spans="1:5" ht="13.8" x14ac:dyDescent="0.25">
      <c r="A3" s="1747" t="str">
        <f>'Проверочная  таблица'!G3</f>
        <v>ПО  СОСТОЯНИЮ  НА  1  ОКТЯБРЯ  2019  ГОДА</v>
      </c>
      <c r="B3" s="1747"/>
      <c r="C3" s="1747"/>
      <c r="D3" s="1747"/>
      <c r="E3" s="1747"/>
    </row>
    <row r="4" spans="1:5" ht="13.8" x14ac:dyDescent="0.25">
      <c r="A4" s="1748" t="s">
        <v>150</v>
      </c>
      <c r="B4" s="1748"/>
      <c r="C4" s="1748"/>
      <c r="D4" s="1748"/>
      <c r="E4" s="1748"/>
    </row>
    <row r="6" spans="1:5" x14ac:dyDescent="0.25">
      <c r="E6" s="1" t="s">
        <v>22</v>
      </c>
    </row>
    <row r="7" spans="1:5" s="168" customFormat="1" ht="26.4" x14ac:dyDescent="0.25">
      <c r="A7" s="169" t="s">
        <v>174</v>
      </c>
      <c r="B7" s="169" t="s">
        <v>19</v>
      </c>
      <c r="C7" s="169" t="s">
        <v>14</v>
      </c>
      <c r="D7" s="169" t="s">
        <v>176</v>
      </c>
      <c r="E7" s="169" t="s">
        <v>175</v>
      </c>
    </row>
    <row r="8" spans="1:5" ht="92.4" x14ac:dyDescent="0.25">
      <c r="A8" s="170" t="s">
        <v>9</v>
      </c>
      <c r="B8" s="171" t="s">
        <v>186</v>
      </c>
      <c r="C8" s="1081">
        <f>37000000+5000000</f>
        <v>42000000</v>
      </c>
      <c r="D8" s="175">
        <f t="shared" ref="D8:D13" si="0">C8-E8</f>
        <v>35570000</v>
      </c>
      <c r="E8" s="211">
        <f>'[1]Дотация  из  ОБ_факт'!F37</f>
        <v>6430000</v>
      </c>
    </row>
    <row r="9" spans="1:5" ht="118.8" x14ac:dyDescent="0.25">
      <c r="A9" s="170" t="s">
        <v>46</v>
      </c>
      <c r="B9" s="171" t="s">
        <v>187</v>
      </c>
      <c r="C9" s="1081">
        <v>6000000</v>
      </c>
      <c r="D9" s="175">
        <f t="shared" si="0"/>
        <v>6000000</v>
      </c>
      <c r="E9" s="211">
        <f>'[1]Дотация  из  ОБ_факт'!F38</f>
        <v>0</v>
      </c>
    </row>
    <row r="10" spans="1:5" ht="145.19999999999999" x14ac:dyDescent="0.25">
      <c r="A10" s="170" t="s">
        <v>38</v>
      </c>
      <c r="B10" s="171" t="s">
        <v>188</v>
      </c>
      <c r="C10" s="1081">
        <v>6000000</v>
      </c>
      <c r="D10" s="175">
        <f t="shared" si="0"/>
        <v>6000000</v>
      </c>
      <c r="E10" s="211">
        <f>'[1]Дотация  из  ОБ_факт'!F39</f>
        <v>0</v>
      </c>
    </row>
    <row r="11" spans="1:5" ht="132" x14ac:dyDescent="0.25">
      <c r="A11" s="170" t="s">
        <v>20</v>
      </c>
      <c r="B11" s="171" t="s">
        <v>189</v>
      </c>
      <c r="C11" s="1081">
        <v>6000000</v>
      </c>
      <c r="D11" s="175">
        <f t="shared" si="0"/>
        <v>6000000</v>
      </c>
      <c r="E11" s="211">
        <f>'[1]Дотация  из  ОБ_факт'!F40</f>
        <v>0</v>
      </c>
    </row>
    <row r="12" spans="1:5" ht="132" x14ac:dyDescent="0.25">
      <c r="A12" s="170" t="s">
        <v>26</v>
      </c>
      <c r="B12" s="171" t="s">
        <v>190</v>
      </c>
      <c r="C12" s="1081">
        <v>6000000</v>
      </c>
      <c r="D12" s="175">
        <f t="shared" si="0"/>
        <v>6000000</v>
      </c>
      <c r="E12" s="211">
        <f>'[1]Дотация  из  ОБ_факт'!F41</f>
        <v>0</v>
      </c>
    </row>
    <row r="13" spans="1:5" ht="132" x14ac:dyDescent="0.25">
      <c r="A13" s="170" t="s">
        <v>117</v>
      </c>
      <c r="B13" s="171" t="s">
        <v>191</v>
      </c>
      <c r="C13" s="1081">
        <v>6000000</v>
      </c>
      <c r="D13" s="175">
        <f t="shared" si="0"/>
        <v>6000000</v>
      </c>
      <c r="E13" s="211">
        <f>'[1]Дотация  из  ОБ_факт'!F42</f>
        <v>0</v>
      </c>
    </row>
    <row r="14" spans="1:5" ht="13.8" x14ac:dyDescent="0.25">
      <c r="A14" s="173"/>
      <c r="B14" s="173"/>
      <c r="C14" s="177"/>
      <c r="D14" s="173"/>
      <c r="E14" s="172"/>
    </row>
    <row r="15" spans="1:5" s="167" customFormat="1" ht="13.8" x14ac:dyDescent="0.25">
      <c r="A15" s="174" t="s">
        <v>1</v>
      </c>
      <c r="B15" s="174"/>
      <c r="C15" s="176">
        <f>SUM(C8:C14)</f>
        <v>72000000</v>
      </c>
      <c r="D15" s="176">
        <f>SUM(D8:D14)</f>
        <v>65570000</v>
      </c>
      <c r="E15" s="176">
        <f>SUM(E8:E14)</f>
        <v>6430000</v>
      </c>
    </row>
    <row r="16" spans="1:5" x14ac:dyDescent="0.25">
      <c r="E16" s="427"/>
    </row>
    <row r="18" spans="1:5" x14ac:dyDescent="0.25">
      <c r="A18" s="167" t="s">
        <v>116</v>
      </c>
    </row>
    <row r="19" spans="1:5" ht="13.8" x14ac:dyDescent="0.25">
      <c r="A19" s="170" t="s">
        <v>60</v>
      </c>
      <c r="B19" s="171"/>
      <c r="C19" s="177"/>
      <c r="D19" s="175"/>
      <c r="E19" s="211">
        <f>'Нераспределенная  субсидия'!G461</f>
        <v>337308738.26999992</v>
      </c>
    </row>
    <row r="20" spans="1:5" ht="13.8" x14ac:dyDescent="0.25">
      <c r="A20" s="170" t="s">
        <v>180</v>
      </c>
      <c r="B20" s="171"/>
      <c r="C20" s="177"/>
      <c r="D20" s="175"/>
      <c r="E20" s="211">
        <f>'Нераспределенные  иные  МБТ'!G37</f>
        <v>100570000</v>
      </c>
    </row>
    <row r="21" spans="1:5" ht="13.8" x14ac:dyDescent="0.25">
      <c r="A21" s="212" t="s">
        <v>61</v>
      </c>
      <c r="B21" s="173"/>
      <c r="C21" s="177"/>
      <c r="D21" s="173"/>
      <c r="E21" s="213">
        <f>SUM(E15:E20)</f>
        <v>444308738.26999992</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1"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14"/>
  <sheetViews>
    <sheetView topLeftCell="A2" zoomScale="80" zoomScaleNormal="80" workbookViewId="0">
      <pane xSplit="3" ySplit="6" topLeftCell="D334" activePane="bottomRight" state="frozen"/>
      <selection activeCell="D27" sqref="D27"/>
      <selection pane="topRight" activeCell="D27" sqref="D27"/>
      <selection pane="bottomLeft" activeCell="D27" sqref="D27"/>
      <selection pane="bottomRight" activeCell="C336" sqref="C336"/>
    </sheetView>
  </sheetViews>
  <sheetFormatPr defaultColWidth="9.21875" defaultRowHeight="13.8" x14ac:dyDescent="0.25"/>
  <cols>
    <col min="1" max="1" width="12.21875" style="836" customWidth="1"/>
    <col min="2" max="2" width="48.77734375" style="836" customWidth="1"/>
    <col min="3" max="3" width="17.44140625" style="836" customWidth="1"/>
    <col min="4" max="4" width="22.21875" style="836" customWidth="1"/>
    <col min="5" max="6" width="21.5546875" style="836" customWidth="1"/>
    <col min="7" max="7" width="22.21875" style="836" customWidth="1"/>
    <col min="8" max="8" width="9.44140625" style="835" customWidth="1"/>
    <col min="9" max="9" width="9.21875" style="835" customWidth="1"/>
    <col min="10" max="10" width="19" style="821" customWidth="1"/>
    <col min="11" max="11" width="18.6640625" style="836" bestFit="1" customWidth="1"/>
    <col min="12" max="12" width="14.5546875" style="836" bestFit="1" customWidth="1"/>
    <col min="13" max="15" width="9.21875" style="836"/>
    <col min="16" max="16" width="14.5546875" style="836" customWidth="1"/>
    <col min="17" max="17" width="14.77734375" style="836" customWidth="1"/>
    <col min="18" max="16384" width="9.21875" style="836"/>
  </cols>
  <sheetData>
    <row r="2" spans="1:10" x14ac:dyDescent="0.25">
      <c r="A2" s="1751" t="s">
        <v>388</v>
      </c>
      <c r="B2" s="1751"/>
      <c r="C2" s="1751"/>
      <c r="D2" s="1751"/>
      <c r="E2" s="1751"/>
      <c r="F2" s="1751"/>
      <c r="G2" s="1751"/>
    </row>
    <row r="3" spans="1:10" x14ac:dyDescent="0.25">
      <c r="A3" s="1752" t="str">
        <f>'Проверочная  таблица'!G3</f>
        <v>ПО  СОСТОЯНИЮ  НА  1  ОКТЯБРЯ  2019  ГОДА</v>
      </c>
      <c r="B3" s="1752"/>
      <c r="C3" s="1752"/>
      <c r="D3" s="1752"/>
      <c r="E3" s="1752"/>
      <c r="F3" s="1752"/>
      <c r="G3" s="1752"/>
    </row>
    <row r="4" spans="1:10" ht="55.05" customHeight="1" x14ac:dyDescent="0.25">
      <c r="A4" s="1753" t="s">
        <v>403</v>
      </c>
      <c r="B4" s="1753"/>
      <c r="C4" s="1753"/>
      <c r="D4" s="1753"/>
      <c r="E4" s="1753"/>
      <c r="F4" s="1753"/>
      <c r="G4" s="1753"/>
    </row>
    <row r="6" spans="1:10" x14ac:dyDescent="0.25">
      <c r="G6" s="836" t="s">
        <v>22</v>
      </c>
    </row>
    <row r="7" spans="1:10" s="179" customFormat="1" ht="26.4" x14ac:dyDescent="0.25">
      <c r="A7" s="178" t="s">
        <v>122</v>
      </c>
      <c r="B7" s="178" t="s">
        <v>174</v>
      </c>
      <c r="C7" s="178" t="s">
        <v>19</v>
      </c>
      <c r="D7" s="178" t="s">
        <v>14</v>
      </c>
      <c r="E7" s="178" t="s">
        <v>176</v>
      </c>
      <c r="F7" s="178" t="s">
        <v>4</v>
      </c>
      <c r="G7" s="178" t="s">
        <v>175</v>
      </c>
      <c r="H7" s="384"/>
      <c r="I7" s="384"/>
      <c r="J7" s="822"/>
    </row>
    <row r="8" spans="1:10" s="179" customFormat="1" x14ac:dyDescent="0.25">
      <c r="A8" s="180" t="s">
        <v>84</v>
      </c>
      <c r="B8" s="247" t="s">
        <v>55</v>
      </c>
      <c r="C8" s="189"/>
      <c r="D8" s="273">
        <f>D18+D15+D30+D12+D27+D21+D24</f>
        <v>46625870</v>
      </c>
      <c r="E8" s="273">
        <f t="shared" ref="E8:G8" si="0">E18+E15+E30+E12+E27+E21+E24</f>
        <v>43275537.100000001</v>
      </c>
      <c r="F8" s="273">
        <f t="shared" si="0"/>
        <v>36677132.299999997</v>
      </c>
      <c r="G8" s="273">
        <f t="shared" si="0"/>
        <v>3350332.9000000004</v>
      </c>
      <c r="H8" s="280">
        <f t="shared" ref="H8:H37" si="1">IF(F8&gt;E8,1,0)</f>
        <v>0</v>
      </c>
      <c r="I8" s="280">
        <f>IF(G8&lt;0,1,0)</f>
        <v>0</v>
      </c>
      <c r="J8" s="822"/>
    </row>
    <row r="9" spans="1:10" s="179" customFormat="1" x14ac:dyDescent="0.25">
      <c r="A9" s="370"/>
      <c r="B9" s="371" t="s">
        <v>161</v>
      </c>
      <c r="C9" s="372"/>
      <c r="D9" s="1496">
        <f t="shared" ref="D9:G10" si="2">D19+D16+D31+D13+D28+D22+D25</f>
        <v>31625870</v>
      </c>
      <c r="E9" s="1496">
        <f t="shared" si="2"/>
        <v>28275537.100000001</v>
      </c>
      <c r="F9" s="1496">
        <f t="shared" si="2"/>
        <v>22314241.300000001</v>
      </c>
      <c r="G9" s="1496">
        <f t="shared" si="2"/>
        <v>3350332.9000000004</v>
      </c>
      <c r="H9" s="280">
        <f t="shared" si="1"/>
        <v>0</v>
      </c>
      <c r="I9" s="280">
        <f t="shared" ref="I9:I85" si="3">IF(G9&lt;0,1,0)</f>
        <v>0</v>
      </c>
      <c r="J9" s="822"/>
    </row>
    <row r="10" spans="1:10" s="179" customFormat="1" x14ac:dyDescent="0.25">
      <c r="A10" s="370"/>
      <c r="B10" s="371" t="s">
        <v>162</v>
      </c>
      <c r="C10" s="372"/>
      <c r="D10" s="1496">
        <f t="shared" si="2"/>
        <v>15000000</v>
      </c>
      <c r="E10" s="1496">
        <f t="shared" si="2"/>
        <v>15000000</v>
      </c>
      <c r="F10" s="1496">
        <f t="shared" si="2"/>
        <v>14362891</v>
      </c>
      <c r="G10" s="1496">
        <f t="shared" si="2"/>
        <v>0</v>
      </c>
      <c r="H10" s="280">
        <f t="shared" si="1"/>
        <v>0</v>
      </c>
      <c r="I10" s="280">
        <f t="shared" si="3"/>
        <v>0</v>
      </c>
      <c r="J10" s="822"/>
    </row>
    <row r="11" spans="1:10" s="179" customFormat="1" x14ac:dyDescent="0.25">
      <c r="A11" s="181"/>
      <c r="B11" s="464" t="s">
        <v>45</v>
      </c>
      <c r="C11" s="190"/>
      <c r="D11" s="274"/>
      <c r="E11" s="182"/>
      <c r="F11" s="182"/>
      <c r="G11" s="274"/>
      <c r="H11" s="280">
        <f t="shared" si="1"/>
        <v>0</v>
      </c>
      <c r="I11" s="280">
        <f t="shared" si="3"/>
        <v>0</v>
      </c>
      <c r="J11" s="822"/>
    </row>
    <row r="12" spans="1:10" s="179" customFormat="1" ht="171.6" x14ac:dyDescent="0.25">
      <c r="A12" s="188"/>
      <c r="B12" s="465" t="s">
        <v>249</v>
      </c>
      <c r="C12" s="145" t="s">
        <v>220</v>
      </c>
      <c r="D12" s="277">
        <v>18985870</v>
      </c>
      <c r="E12" s="436">
        <f>D12</f>
        <v>18985870</v>
      </c>
      <c r="F12" s="383">
        <v>14362891</v>
      </c>
      <c r="G12" s="276">
        <f>D12-E12</f>
        <v>0</v>
      </c>
      <c r="H12" s="280">
        <f>IF(F12&gt;E12,1,0)</f>
        <v>0</v>
      </c>
      <c r="I12" s="280">
        <f t="shared" si="3"/>
        <v>0</v>
      </c>
      <c r="J12" s="822"/>
    </row>
    <row r="13" spans="1:10" s="179" customFormat="1" x14ac:dyDescent="0.25">
      <c r="A13" s="378"/>
      <c r="B13" s="379" t="s">
        <v>161</v>
      </c>
      <c r="C13" s="380"/>
      <c r="D13" s="382">
        <f>D12-D14</f>
        <v>3985870</v>
      </c>
      <c r="E13" s="382">
        <f>E12-E14</f>
        <v>3985870</v>
      </c>
      <c r="F13" s="382">
        <f>F12-F14</f>
        <v>0</v>
      </c>
      <c r="G13" s="382">
        <f>G12-G14</f>
        <v>0</v>
      </c>
      <c r="H13" s="280">
        <f t="shared" si="1"/>
        <v>0</v>
      </c>
      <c r="I13" s="280">
        <f t="shared" si="3"/>
        <v>0</v>
      </c>
      <c r="J13" s="822"/>
    </row>
    <row r="14" spans="1:10" s="179" customFormat="1" x14ac:dyDescent="0.25">
      <c r="A14" s="378"/>
      <c r="B14" s="379" t="s">
        <v>162</v>
      </c>
      <c r="C14" s="380"/>
      <c r="D14" s="381">
        <v>15000000</v>
      </c>
      <c r="E14" s="442">
        <f>D14</f>
        <v>15000000</v>
      </c>
      <c r="F14" s="1509">
        <v>14362891</v>
      </c>
      <c r="G14" s="382">
        <f t="shared" ref="G14:G32" si="4">D14-E14</f>
        <v>0</v>
      </c>
      <c r="H14" s="280">
        <f t="shared" si="1"/>
        <v>0</v>
      </c>
      <c r="I14" s="280">
        <f t="shared" si="3"/>
        <v>0</v>
      </c>
      <c r="J14" s="822"/>
    </row>
    <row r="15" spans="1:10" ht="145.19999999999999" x14ac:dyDescent="0.25">
      <c r="A15" s="188"/>
      <c r="B15" s="465" t="s">
        <v>252</v>
      </c>
      <c r="C15" s="145" t="s">
        <v>245</v>
      </c>
      <c r="D15" s="275">
        <v>2000000</v>
      </c>
      <c r="E15" s="182">
        <f>'Прочая  субсидия_МР  и  ГО'!AD38</f>
        <v>1975425.7999999998</v>
      </c>
      <c r="F15" s="182">
        <f>'Прочая  субсидия_МР  и  ГО'!AE38</f>
        <v>0</v>
      </c>
      <c r="G15" s="276">
        <f t="shared" si="4"/>
        <v>24574.200000000186</v>
      </c>
      <c r="H15" s="280">
        <f t="shared" si="1"/>
        <v>0</v>
      </c>
      <c r="I15" s="280">
        <f t="shared" si="3"/>
        <v>0</v>
      </c>
    </row>
    <row r="16" spans="1:10" x14ac:dyDescent="0.25">
      <c r="A16" s="378"/>
      <c r="B16" s="379" t="s">
        <v>161</v>
      </c>
      <c r="C16" s="380"/>
      <c r="D16" s="382">
        <f>D15</f>
        <v>2000000</v>
      </c>
      <c r="E16" s="382">
        <f>E15</f>
        <v>1975425.7999999998</v>
      </c>
      <c r="F16" s="382">
        <f>F15</f>
        <v>0</v>
      </c>
      <c r="G16" s="382">
        <f t="shared" si="4"/>
        <v>24574.200000000186</v>
      </c>
      <c r="H16" s="280">
        <f t="shared" si="1"/>
        <v>0</v>
      </c>
      <c r="I16" s="280">
        <f t="shared" si="3"/>
        <v>0</v>
      </c>
    </row>
    <row r="17" spans="1:10" x14ac:dyDescent="0.25">
      <c r="A17" s="378"/>
      <c r="B17" s="379" t="s">
        <v>162</v>
      </c>
      <c r="C17" s="380"/>
      <c r="D17" s="382">
        <f>D15-D16</f>
        <v>0</v>
      </c>
      <c r="E17" s="382">
        <f>E15-E16</f>
        <v>0</v>
      </c>
      <c r="F17" s="382">
        <f>F15-F16</f>
        <v>0</v>
      </c>
      <c r="G17" s="382">
        <f t="shared" si="4"/>
        <v>0</v>
      </c>
      <c r="H17" s="280">
        <f t="shared" si="1"/>
        <v>0</v>
      </c>
      <c r="I17" s="280">
        <f t="shared" si="3"/>
        <v>0</v>
      </c>
    </row>
    <row r="18" spans="1:10" ht="198" x14ac:dyDescent="0.25">
      <c r="A18" s="188"/>
      <c r="B18" s="465" t="s">
        <v>253</v>
      </c>
      <c r="C18" s="145" t="s">
        <v>243</v>
      </c>
      <c r="D18" s="275">
        <f>4000000+2900000</f>
        <v>6900000</v>
      </c>
      <c r="E18" s="195">
        <f>'Прочая  субсидия_МР  и  ГО'!AF38</f>
        <v>6030241.2999999998</v>
      </c>
      <c r="F18" s="195">
        <f>'Прочая  субсидия_МР  и  ГО'!AG38</f>
        <v>6030241.2999999998</v>
      </c>
      <c r="G18" s="276">
        <f t="shared" si="4"/>
        <v>869758.70000000019</v>
      </c>
      <c r="H18" s="280">
        <f t="shared" si="1"/>
        <v>0</v>
      </c>
      <c r="I18" s="280">
        <f t="shared" si="3"/>
        <v>0</v>
      </c>
    </row>
    <row r="19" spans="1:10" x14ac:dyDescent="0.25">
      <c r="A19" s="378"/>
      <c r="B19" s="379" t="s">
        <v>161</v>
      </c>
      <c r="C19" s="380"/>
      <c r="D19" s="382">
        <f>D18</f>
        <v>6900000</v>
      </c>
      <c r="E19" s="382">
        <f>E18</f>
        <v>6030241.2999999998</v>
      </c>
      <c r="F19" s="382">
        <f>F18</f>
        <v>6030241.2999999998</v>
      </c>
      <c r="G19" s="382">
        <f t="shared" si="4"/>
        <v>869758.70000000019</v>
      </c>
      <c r="H19" s="280">
        <f t="shared" si="1"/>
        <v>0</v>
      </c>
      <c r="I19" s="280">
        <f t="shared" si="3"/>
        <v>0</v>
      </c>
    </row>
    <row r="20" spans="1:10" x14ac:dyDescent="0.25">
      <c r="A20" s="378"/>
      <c r="B20" s="379" t="s">
        <v>162</v>
      </c>
      <c r="C20" s="380"/>
      <c r="D20" s="382">
        <f>D18-D19</f>
        <v>0</v>
      </c>
      <c r="E20" s="382">
        <f>E18-E19</f>
        <v>0</v>
      </c>
      <c r="F20" s="382">
        <f>F18-F19</f>
        <v>0</v>
      </c>
      <c r="G20" s="382">
        <f t="shared" si="4"/>
        <v>0</v>
      </c>
      <c r="H20" s="280">
        <f t="shared" si="1"/>
        <v>0</v>
      </c>
      <c r="I20" s="280">
        <f t="shared" si="3"/>
        <v>0</v>
      </c>
    </row>
    <row r="21" spans="1:10" ht="118.8" x14ac:dyDescent="0.25">
      <c r="A21" s="1495"/>
      <c r="B21" s="465" t="s">
        <v>863</v>
      </c>
      <c r="C21" s="145" t="s">
        <v>862</v>
      </c>
      <c r="D21" s="275"/>
      <c r="E21" s="195"/>
      <c r="F21" s="195"/>
      <c r="G21" s="276">
        <f t="shared" ref="G21:G23" si="5">D21-E21</f>
        <v>0</v>
      </c>
      <c r="H21" s="280">
        <f t="shared" ref="H21:H23" si="6">IF(F21&gt;E21,1,0)</f>
        <v>0</v>
      </c>
      <c r="I21" s="280">
        <f t="shared" ref="I21:I23" si="7">IF(G21&lt;0,1,0)</f>
        <v>0</v>
      </c>
      <c r="J21" s="820">
        <f>D21+D24</f>
        <v>2076000</v>
      </c>
    </row>
    <row r="22" spans="1:10" x14ac:dyDescent="0.25">
      <c r="A22" s="378"/>
      <c r="B22" s="379" t="s">
        <v>161</v>
      </c>
      <c r="C22" s="380"/>
      <c r="D22" s="382">
        <f>D21</f>
        <v>0</v>
      </c>
      <c r="E22" s="382">
        <f>E21</f>
        <v>0</v>
      </c>
      <c r="F22" s="382">
        <f>F21</f>
        <v>0</v>
      </c>
      <c r="G22" s="382">
        <f t="shared" si="5"/>
        <v>0</v>
      </c>
      <c r="H22" s="280">
        <f t="shared" si="6"/>
        <v>0</v>
      </c>
      <c r="I22" s="280">
        <f t="shared" si="7"/>
        <v>0</v>
      </c>
    </row>
    <row r="23" spans="1:10" x14ac:dyDescent="0.25">
      <c r="A23" s="378"/>
      <c r="B23" s="379" t="s">
        <v>162</v>
      </c>
      <c r="C23" s="380"/>
      <c r="D23" s="382">
        <f>D21-D22</f>
        <v>0</v>
      </c>
      <c r="E23" s="382">
        <f>E21-E22</f>
        <v>0</v>
      </c>
      <c r="F23" s="382">
        <f>F21-F22</f>
        <v>0</v>
      </c>
      <c r="G23" s="382">
        <f t="shared" si="5"/>
        <v>0</v>
      </c>
      <c r="H23" s="280">
        <f t="shared" si="6"/>
        <v>0</v>
      </c>
      <c r="I23" s="280">
        <f t="shared" si="7"/>
        <v>0</v>
      </c>
    </row>
    <row r="24" spans="1:10" x14ac:dyDescent="0.25">
      <c r="A24" s="689"/>
      <c r="B24" s="1497"/>
      <c r="C24" s="676" t="s">
        <v>862</v>
      </c>
      <c r="D24" s="1498">
        <v>2076000</v>
      </c>
      <c r="E24" s="1499"/>
      <c r="F24" s="1499"/>
      <c r="G24" s="1500">
        <f t="shared" ref="G24:G26" si="8">D24-E24</f>
        <v>2076000</v>
      </c>
      <c r="H24" s="280">
        <f t="shared" ref="H24:H26" si="9">IF(F24&gt;E24,1,0)</f>
        <v>0</v>
      </c>
      <c r="I24" s="280">
        <f t="shared" ref="I24:I26" si="10">IF(G24&lt;0,1,0)</f>
        <v>0</v>
      </c>
    </row>
    <row r="25" spans="1:10" x14ac:dyDescent="0.25">
      <c r="A25" s="689"/>
      <c r="B25" s="693" t="s">
        <v>161</v>
      </c>
      <c r="C25" s="694"/>
      <c r="D25" s="692">
        <f>D24</f>
        <v>2076000</v>
      </c>
      <c r="E25" s="692">
        <f>E24</f>
        <v>0</v>
      </c>
      <c r="F25" s="692">
        <f>F24</f>
        <v>0</v>
      </c>
      <c r="G25" s="692">
        <f t="shared" si="8"/>
        <v>2076000</v>
      </c>
      <c r="H25" s="280">
        <f t="shared" si="9"/>
        <v>0</v>
      </c>
      <c r="I25" s="280">
        <f t="shared" si="10"/>
        <v>0</v>
      </c>
    </row>
    <row r="26" spans="1:10" x14ac:dyDescent="0.25">
      <c r="A26" s="689"/>
      <c r="B26" s="693" t="s">
        <v>162</v>
      </c>
      <c r="C26" s="694"/>
      <c r="D26" s="692">
        <f>D24-D25</f>
        <v>0</v>
      </c>
      <c r="E26" s="692">
        <f>E24-E25</f>
        <v>0</v>
      </c>
      <c r="F26" s="692">
        <f>F24-F25</f>
        <v>0</v>
      </c>
      <c r="G26" s="692">
        <f t="shared" si="8"/>
        <v>0</v>
      </c>
      <c r="H26" s="280">
        <f t="shared" si="9"/>
        <v>0</v>
      </c>
      <c r="I26" s="280">
        <f t="shared" si="10"/>
        <v>0</v>
      </c>
    </row>
    <row r="27" spans="1:10" ht="132" x14ac:dyDescent="0.25">
      <c r="A27" s="1082"/>
      <c r="B27" s="465" t="s">
        <v>396</v>
      </c>
      <c r="C27" s="145" t="s">
        <v>395</v>
      </c>
      <c r="D27" s="275">
        <v>1300000</v>
      </c>
      <c r="E27" s="182">
        <f>'Прочая  субсидия_БП'!AL26</f>
        <v>920000</v>
      </c>
      <c r="F27" s="182">
        <f>'Прочая  субсидия_БП'!AM26</f>
        <v>920000</v>
      </c>
      <c r="G27" s="276">
        <f t="shared" ref="G27:G29" si="11">D27-E27</f>
        <v>380000</v>
      </c>
      <c r="H27" s="280">
        <f t="shared" ref="H27:H29" si="12">IF(F27&gt;E27,1,0)</f>
        <v>0</v>
      </c>
      <c r="I27" s="280">
        <f t="shared" ref="I27:I29" si="13">IF(G27&lt;0,1,0)</f>
        <v>0</v>
      </c>
    </row>
    <row r="28" spans="1:10" x14ac:dyDescent="0.25">
      <c r="A28" s="378"/>
      <c r="B28" s="379" t="s">
        <v>161</v>
      </c>
      <c r="C28" s="380"/>
      <c r="D28" s="382">
        <f>D27</f>
        <v>1300000</v>
      </c>
      <c r="E28" s="382">
        <f>E27</f>
        <v>920000</v>
      </c>
      <c r="F28" s="382">
        <f>F27</f>
        <v>920000</v>
      </c>
      <c r="G28" s="382">
        <f t="shared" si="11"/>
        <v>380000</v>
      </c>
      <c r="H28" s="280">
        <f t="shared" si="12"/>
        <v>0</v>
      </c>
      <c r="I28" s="280">
        <f t="shared" si="13"/>
        <v>0</v>
      </c>
    </row>
    <row r="29" spans="1:10" x14ac:dyDescent="0.25">
      <c r="A29" s="378"/>
      <c r="B29" s="379" t="s">
        <v>162</v>
      </c>
      <c r="C29" s="380"/>
      <c r="D29" s="382">
        <f>D27-D28</f>
        <v>0</v>
      </c>
      <c r="E29" s="382">
        <f>E27-E28</f>
        <v>0</v>
      </c>
      <c r="F29" s="382">
        <f>F27-F28</f>
        <v>0</v>
      </c>
      <c r="G29" s="382">
        <f t="shared" si="11"/>
        <v>0</v>
      </c>
      <c r="H29" s="280">
        <f t="shared" si="12"/>
        <v>0</v>
      </c>
      <c r="I29" s="280">
        <f t="shared" si="13"/>
        <v>0</v>
      </c>
    </row>
    <row r="30" spans="1:10" ht="132" x14ac:dyDescent="0.25">
      <c r="A30" s="188"/>
      <c r="B30" s="465" t="s">
        <v>339</v>
      </c>
      <c r="C30" s="145" t="s">
        <v>338</v>
      </c>
      <c r="D30" s="275">
        <v>15364000</v>
      </c>
      <c r="E30" s="182">
        <f>'Прочая  субсидия_МР  и  ГО'!BH38</f>
        <v>15364000</v>
      </c>
      <c r="F30" s="182">
        <f>'Прочая  субсидия_МР  и  ГО'!BI38</f>
        <v>15364000</v>
      </c>
      <c r="G30" s="276">
        <f t="shared" si="4"/>
        <v>0</v>
      </c>
      <c r="H30" s="280">
        <f t="shared" si="1"/>
        <v>0</v>
      </c>
      <c r="I30" s="280">
        <f t="shared" si="3"/>
        <v>0</v>
      </c>
    </row>
    <row r="31" spans="1:10" x14ac:dyDescent="0.25">
      <c r="A31" s="378"/>
      <c r="B31" s="379" t="s">
        <v>161</v>
      </c>
      <c r="C31" s="380"/>
      <c r="D31" s="382">
        <f>D30</f>
        <v>15364000</v>
      </c>
      <c r="E31" s="382">
        <f>E30</f>
        <v>15364000</v>
      </c>
      <c r="F31" s="382">
        <f>F30</f>
        <v>15364000</v>
      </c>
      <c r="G31" s="382">
        <f t="shared" si="4"/>
        <v>0</v>
      </c>
      <c r="H31" s="280">
        <f t="shared" si="1"/>
        <v>0</v>
      </c>
      <c r="I31" s="280">
        <f t="shared" si="3"/>
        <v>0</v>
      </c>
    </row>
    <row r="32" spans="1:10" x14ac:dyDescent="0.25">
      <c r="A32" s="378"/>
      <c r="B32" s="379" t="s">
        <v>162</v>
      </c>
      <c r="C32" s="380"/>
      <c r="D32" s="382">
        <f>D30-D31</f>
        <v>0</v>
      </c>
      <c r="E32" s="382">
        <f>E30-E31</f>
        <v>0</v>
      </c>
      <c r="F32" s="382">
        <f>F30-F31</f>
        <v>0</v>
      </c>
      <c r="G32" s="382">
        <f t="shared" si="4"/>
        <v>0</v>
      </c>
      <c r="H32" s="280">
        <f t="shared" si="1"/>
        <v>0</v>
      </c>
      <c r="I32" s="280">
        <f t="shared" si="3"/>
        <v>0</v>
      </c>
    </row>
    <row r="33" spans="1:10" x14ac:dyDescent="0.25">
      <c r="A33" s="188"/>
      <c r="B33" s="467"/>
      <c r="C33" s="184"/>
      <c r="D33" s="277"/>
      <c r="E33" s="182"/>
      <c r="F33" s="182"/>
      <c r="G33" s="276"/>
      <c r="H33" s="280">
        <f t="shared" si="1"/>
        <v>0</v>
      </c>
      <c r="I33" s="280">
        <f t="shared" si="3"/>
        <v>0</v>
      </c>
    </row>
    <row r="34" spans="1:10" x14ac:dyDescent="0.25">
      <c r="A34" s="180" t="s">
        <v>72</v>
      </c>
      <c r="B34" s="247" t="s">
        <v>143</v>
      </c>
      <c r="C34" s="186"/>
      <c r="D34" s="278">
        <f>D44+D38+D41+D47+D50</f>
        <v>51910138.890000001</v>
      </c>
      <c r="E34" s="278">
        <f t="shared" ref="E34:G34" si="14">E44+E38+E41+E47+E50</f>
        <v>51910138.890000001</v>
      </c>
      <c r="F34" s="278">
        <f t="shared" si="14"/>
        <v>41683106.890000001</v>
      </c>
      <c r="G34" s="278">
        <f t="shared" si="14"/>
        <v>0</v>
      </c>
      <c r="H34" s="280">
        <f t="shared" si="1"/>
        <v>0</v>
      </c>
      <c r="I34" s="280">
        <f t="shared" si="3"/>
        <v>0</v>
      </c>
    </row>
    <row r="35" spans="1:10" x14ac:dyDescent="0.25">
      <c r="A35" s="370"/>
      <c r="B35" s="371" t="s">
        <v>161</v>
      </c>
      <c r="C35" s="372"/>
      <c r="D35" s="493">
        <f t="shared" ref="D35:G36" si="15">D45+D39+D42+D48+D51</f>
        <v>2345555.56</v>
      </c>
      <c r="E35" s="493">
        <f t="shared" si="15"/>
        <v>2345555.56</v>
      </c>
      <c r="F35" s="493">
        <f t="shared" si="15"/>
        <v>1939980.8199999998</v>
      </c>
      <c r="G35" s="493">
        <f t="shared" si="15"/>
        <v>0</v>
      </c>
      <c r="H35" s="280">
        <f t="shared" si="1"/>
        <v>0</v>
      </c>
      <c r="I35" s="280">
        <f t="shared" si="3"/>
        <v>0</v>
      </c>
    </row>
    <row r="36" spans="1:10" x14ac:dyDescent="0.25">
      <c r="A36" s="370"/>
      <c r="B36" s="371" t="s">
        <v>162</v>
      </c>
      <c r="C36" s="372"/>
      <c r="D36" s="493">
        <f t="shared" si="15"/>
        <v>49564583.329999998</v>
      </c>
      <c r="E36" s="493">
        <f t="shared" si="15"/>
        <v>49564583.329999998</v>
      </c>
      <c r="F36" s="493">
        <f t="shared" si="15"/>
        <v>39743126.07</v>
      </c>
      <c r="G36" s="493">
        <f t="shared" si="15"/>
        <v>0</v>
      </c>
      <c r="H36" s="280">
        <f t="shared" si="1"/>
        <v>0</v>
      </c>
      <c r="I36" s="280">
        <f t="shared" si="3"/>
        <v>0</v>
      </c>
    </row>
    <row r="37" spans="1:10" s="837" customFormat="1" x14ac:dyDescent="0.25">
      <c r="A37" s="245"/>
      <c r="B37" s="464" t="s">
        <v>45</v>
      </c>
      <c r="C37" s="246"/>
      <c r="D37" s="197"/>
      <c r="E37" s="195"/>
      <c r="F37" s="195"/>
      <c r="G37" s="279"/>
      <c r="H37" s="280">
        <f t="shared" si="1"/>
        <v>0</v>
      </c>
      <c r="I37" s="280">
        <f t="shared" si="3"/>
        <v>0</v>
      </c>
      <c r="J37" s="823"/>
    </row>
    <row r="38" spans="1:10" ht="158.4" x14ac:dyDescent="0.25">
      <c r="A38" s="188"/>
      <c r="B38" s="465" t="s">
        <v>567</v>
      </c>
      <c r="C38" s="246" t="s">
        <v>347</v>
      </c>
      <c r="D38" s="197">
        <v>656755.56000000006</v>
      </c>
      <c r="E38" s="195">
        <f>'Проверочная  таблица'!ND37</f>
        <v>656755.56000000006</v>
      </c>
      <c r="F38" s="195">
        <f>'Проверочная  таблица'!NG37</f>
        <v>543194.63</v>
      </c>
      <c r="G38" s="276">
        <f t="shared" ref="G38:G46" si="16">D38-E38</f>
        <v>0</v>
      </c>
      <c r="H38" s="280">
        <f t="shared" ref="H38:H43" si="17">IF(F38&gt;E38,1,0)</f>
        <v>0</v>
      </c>
      <c r="I38" s="280">
        <f t="shared" si="3"/>
        <v>0</v>
      </c>
      <c r="J38" s="820">
        <f>D38+D41</f>
        <v>2345555.56</v>
      </c>
    </row>
    <row r="39" spans="1:10" x14ac:dyDescent="0.25">
      <c r="A39" s="378"/>
      <c r="B39" s="379" t="s">
        <v>161</v>
      </c>
      <c r="C39" s="380"/>
      <c r="D39" s="442">
        <f>D38</f>
        <v>656755.56000000006</v>
      </c>
      <c r="E39" s="442">
        <f>E38</f>
        <v>656755.56000000006</v>
      </c>
      <c r="F39" s="442">
        <f>F38</f>
        <v>543194.63</v>
      </c>
      <c r="G39" s="442">
        <f>G38</f>
        <v>0</v>
      </c>
      <c r="H39" s="280">
        <f t="shared" si="17"/>
        <v>0</v>
      </c>
      <c r="I39" s="280">
        <f t="shared" si="3"/>
        <v>0</v>
      </c>
    </row>
    <row r="40" spans="1:10" x14ac:dyDescent="0.25">
      <c r="A40" s="378"/>
      <c r="B40" s="379" t="s">
        <v>162</v>
      </c>
      <c r="C40" s="380"/>
      <c r="D40" s="382">
        <f>D38-D39</f>
        <v>0</v>
      </c>
      <c r="E40" s="382">
        <f>E38-E39</f>
        <v>0</v>
      </c>
      <c r="F40" s="382">
        <f>F38-F39</f>
        <v>0</v>
      </c>
      <c r="G40" s="382">
        <f>G38-G39</f>
        <v>0</v>
      </c>
      <c r="H40" s="280">
        <f t="shared" si="17"/>
        <v>0</v>
      </c>
      <c r="I40" s="280">
        <f t="shared" si="3"/>
        <v>0</v>
      </c>
    </row>
    <row r="41" spans="1:10" x14ac:dyDescent="0.25">
      <c r="A41" s="689"/>
      <c r="B41" s="690" t="s">
        <v>66</v>
      </c>
      <c r="C41" s="708" t="s">
        <v>347</v>
      </c>
      <c r="D41" s="691">
        <v>1688800</v>
      </c>
      <c r="E41" s="688">
        <f>'Проверочная  таблица'!NE37</f>
        <v>1688800</v>
      </c>
      <c r="F41" s="688">
        <f>'Проверочная  таблица'!NH37</f>
        <v>1396786.19</v>
      </c>
      <c r="G41" s="692">
        <f t="shared" si="16"/>
        <v>0</v>
      </c>
      <c r="H41" s="280">
        <f t="shared" si="17"/>
        <v>0</v>
      </c>
      <c r="I41" s="280">
        <f>IF(G41&lt;0,1,0)</f>
        <v>0</v>
      </c>
    </row>
    <row r="42" spans="1:10" x14ac:dyDescent="0.25">
      <c r="A42" s="689"/>
      <c r="B42" s="693" t="s">
        <v>161</v>
      </c>
      <c r="C42" s="694"/>
      <c r="D42" s="688">
        <f>D41</f>
        <v>1688800</v>
      </c>
      <c r="E42" s="688">
        <f>E41</f>
        <v>1688800</v>
      </c>
      <c r="F42" s="688">
        <f>F41</f>
        <v>1396786.19</v>
      </c>
      <c r="G42" s="688">
        <f>G41</f>
        <v>0</v>
      </c>
      <c r="H42" s="280">
        <f t="shared" si="17"/>
        <v>0</v>
      </c>
      <c r="I42" s="280">
        <f>IF(G42&lt;0,1,0)</f>
        <v>0</v>
      </c>
    </row>
    <row r="43" spans="1:10" x14ac:dyDescent="0.25">
      <c r="A43" s="689"/>
      <c r="B43" s="693" t="s">
        <v>162</v>
      </c>
      <c r="C43" s="694"/>
      <c r="D43" s="692">
        <f>D41-D42</f>
        <v>0</v>
      </c>
      <c r="E43" s="692">
        <f>E41-E42</f>
        <v>0</v>
      </c>
      <c r="F43" s="692">
        <f>F41-F42</f>
        <v>0</v>
      </c>
      <c r="G43" s="692">
        <f>G41-G42</f>
        <v>0</v>
      </c>
      <c r="H43" s="280">
        <f t="shared" si="17"/>
        <v>0</v>
      </c>
      <c r="I43" s="280">
        <f>IF(G43&lt;0,1,0)</f>
        <v>0</v>
      </c>
    </row>
    <row r="44" spans="1:10" ht="171.6" x14ac:dyDescent="0.25">
      <c r="A44" s="188"/>
      <c r="B44" s="465" t="s">
        <v>568</v>
      </c>
      <c r="C44" s="246" t="s">
        <v>348</v>
      </c>
      <c r="D44" s="197">
        <v>11386083.33</v>
      </c>
      <c r="E44" s="195">
        <f>'Проверочная  таблица'!PH37</f>
        <v>11386083.33</v>
      </c>
      <c r="F44" s="195">
        <f>'Проверочная  таблица'!PQ37</f>
        <v>9437667.6100000031</v>
      </c>
      <c r="G44" s="276">
        <f t="shared" si="16"/>
        <v>0</v>
      </c>
      <c r="H44" s="280">
        <f t="shared" ref="H44:H52" si="18">IF(F44&gt;E44,1,0)</f>
        <v>0</v>
      </c>
      <c r="I44" s="280">
        <f t="shared" si="3"/>
        <v>0</v>
      </c>
      <c r="J44" s="820">
        <f>D44+D47</f>
        <v>40664583.329999998</v>
      </c>
    </row>
    <row r="45" spans="1:10" x14ac:dyDescent="0.25">
      <c r="A45" s="378"/>
      <c r="B45" s="379" t="s">
        <v>161</v>
      </c>
      <c r="C45" s="380"/>
      <c r="D45" s="381">
        <v>0</v>
      </c>
      <c r="E45" s="381">
        <v>0</v>
      </c>
      <c r="F45" s="381">
        <v>0</v>
      </c>
      <c r="G45" s="382">
        <f t="shared" si="16"/>
        <v>0</v>
      </c>
      <c r="H45" s="280">
        <f t="shared" si="18"/>
        <v>0</v>
      </c>
      <c r="I45" s="280">
        <f t="shared" si="3"/>
        <v>0</v>
      </c>
    </row>
    <row r="46" spans="1:10" x14ac:dyDescent="0.25">
      <c r="A46" s="378"/>
      <c r="B46" s="379" t="s">
        <v>162</v>
      </c>
      <c r="C46" s="380"/>
      <c r="D46" s="382">
        <f>D44-D45</f>
        <v>11386083.33</v>
      </c>
      <c r="E46" s="382">
        <f>E44-E45</f>
        <v>11386083.33</v>
      </c>
      <c r="F46" s="382">
        <f>F44-F45</f>
        <v>9437667.6100000031</v>
      </c>
      <c r="G46" s="382">
        <f t="shared" si="16"/>
        <v>0</v>
      </c>
      <c r="H46" s="280">
        <f t="shared" si="18"/>
        <v>0</v>
      </c>
      <c r="I46" s="280">
        <f t="shared" si="3"/>
        <v>0</v>
      </c>
    </row>
    <row r="47" spans="1:10" x14ac:dyDescent="0.25">
      <c r="A47" s="689"/>
      <c r="B47" s="690" t="s">
        <v>66</v>
      </c>
      <c r="C47" s="708" t="s">
        <v>348</v>
      </c>
      <c r="D47" s="691">
        <v>29278500</v>
      </c>
      <c r="E47" s="688">
        <f>'Проверочная  таблица'!PI37</f>
        <v>29278500</v>
      </c>
      <c r="F47" s="688">
        <f>'Проверочная  таблица'!PR37</f>
        <v>24268288.16</v>
      </c>
      <c r="G47" s="692">
        <f t="shared" ref="G47:G52" si="19">D47-E47</f>
        <v>0</v>
      </c>
      <c r="H47" s="280">
        <f t="shared" si="18"/>
        <v>0</v>
      </c>
      <c r="I47" s="280">
        <f t="shared" ref="I47:I52" si="20">IF(G47&lt;0,1,0)</f>
        <v>0</v>
      </c>
    </row>
    <row r="48" spans="1:10" x14ac:dyDescent="0.25">
      <c r="A48" s="689"/>
      <c r="B48" s="693" t="s">
        <v>161</v>
      </c>
      <c r="C48" s="694"/>
      <c r="D48" s="695">
        <v>0</v>
      </c>
      <c r="E48" s="695">
        <v>0</v>
      </c>
      <c r="F48" s="695">
        <v>0</v>
      </c>
      <c r="G48" s="692">
        <f t="shared" si="19"/>
        <v>0</v>
      </c>
      <c r="H48" s="280">
        <f t="shared" si="18"/>
        <v>0</v>
      </c>
      <c r="I48" s="280">
        <f t="shared" si="20"/>
        <v>0</v>
      </c>
    </row>
    <row r="49" spans="1:10" x14ac:dyDescent="0.25">
      <c r="A49" s="689"/>
      <c r="B49" s="693" t="s">
        <v>162</v>
      </c>
      <c r="C49" s="694"/>
      <c r="D49" s="692">
        <f>D47-D48</f>
        <v>29278500</v>
      </c>
      <c r="E49" s="692">
        <f>E47-E48</f>
        <v>29278500</v>
      </c>
      <c r="F49" s="692">
        <f>F47-F48</f>
        <v>24268288.16</v>
      </c>
      <c r="G49" s="692">
        <f t="shared" si="19"/>
        <v>0</v>
      </c>
      <c r="H49" s="280">
        <f t="shared" si="18"/>
        <v>0</v>
      </c>
      <c r="I49" s="280">
        <f t="shared" si="20"/>
        <v>0</v>
      </c>
      <c r="J49" s="820"/>
    </row>
    <row r="50" spans="1:10" ht="158.4" x14ac:dyDescent="0.25">
      <c r="A50" s="1179"/>
      <c r="B50" s="465" t="s">
        <v>633</v>
      </c>
      <c r="C50" s="246" t="s">
        <v>634</v>
      </c>
      <c r="D50" s="197">
        <v>8900000</v>
      </c>
      <c r="E50" s="195">
        <f>'Проверочная  таблица'!AZ37</f>
        <v>8900000</v>
      </c>
      <c r="F50" s="195">
        <f>'Проверочная  таблица'!BF37</f>
        <v>6037170.2999999998</v>
      </c>
      <c r="G50" s="276">
        <f t="shared" si="19"/>
        <v>0</v>
      </c>
      <c r="H50" s="280">
        <f t="shared" si="18"/>
        <v>0</v>
      </c>
      <c r="I50" s="280">
        <f t="shared" si="20"/>
        <v>0</v>
      </c>
      <c r="J50" s="820"/>
    </row>
    <row r="51" spans="1:10" x14ac:dyDescent="0.25">
      <c r="A51" s="378"/>
      <c r="B51" s="379" t="s">
        <v>161</v>
      </c>
      <c r="C51" s="380"/>
      <c r="D51" s="381"/>
      <c r="E51" s="381"/>
      <c r="F51" s="381"/>
      <c r="G51" s="382">
        <f t="shared" si="19"/>
        <v>0</v>
      </c>
      <c r="H51" s="280">
        <f t="shared" si="18"/>
        <v>0</v>
      </c>
      <c r="I51" s="280">
        <f t="shared" si="20"/>
        <v>0</v>
      </c>
      <c r="J51" s="820"/>
    </row>
    <row r="52" spans="1:10" x14ac:dyDescent="0.25">
      <c r="A52" s="378"/>
      <c r="B52" s="379" t="s">
        <v>162</v>
      </c>
      <c r="C52" s="380"/>
      <c r="D52" s="382">
        <f>D50-D51</f>
        <v>8900000</v>
      </c>
      <c r="E52" s="382">
        <f>E50-E51</f>
        <v>8900000</v>
      </c>
      <c r="F52" s="382">
        <f>F50-F51</f>
        <v>6037170.2999999998</v>
      </c>
      <c r="G52" s="382">
        <f t="shared" si="19"/>
        <v>0</v>
      </c>
      <c r="H52" s="280">
        <f t="shared" si="18"/>
        <v>0</v>
      </c>
      <c r="I52" s="280">
        <f t="shared" si="20"/>
        <v>0</v>
      </c>
      <c r="J52" s="820"/>
    </row>
    <row r="53" spans="1:10" x14ac:dyDescent="0.25">
      <c r="A53" s="188"/>
      <c r="B53" s="465"/>
      <c r="C53" s="246"/>
      <c r="D53" s="197"/>
      <c r="E53" s="195"/>
      <c r="F53" s="195"/>
      <c r="G53" s="276"/>
      <c r="H53" s="280">
        <f t="shared" ref="H53:H78" si="21">IF(F53&gt;E53,1,0)</f>
        <v>0</v>
      </c>
      <c r="I53" s="280">
        <f t="shared" si="3"/>
        <v>0</v>
      </c>
    </row>
    <row r="54" spans="1:10" x14ac:dyDescent="0.25">
      <c r="A54" s="180" t="s">
        <v>114</v>
      </c>
      <c r="B54" s="247" t="s">
        <v>115</v>
      </c>
      <c r="C54" s="186"/>
      <c r="D54" s="278">
        <f>D58+D61+D64+D67+D70</f>
        <v>744912700</v>
      </c>
      <c r="E54" s="278">
        <f t="shared" ref="E54:G54" si="22">E58+E61+E64+E67+E70</f>
        <v>740233517.01999998</v>
      </c>
      <c r="F54" s="278">
        <f t="shared" si="22"/>
        <v>739963517.01999998</v>
      </c>
      <c r="G54" s="278">
        <f t="shared" si="22"/>
        <v>4679182.9800000191</v>
      </c>
      <c r="H54" s="280">
        <f t="shared" si="21"/>
        <v>0</v>
      </c>
      <c r="I54" s="280">
        <f t="shared" si="3"/>
        <v>0</v>
      </c>
    </row>
    <row r="55" spans="1:10" x14ac:dyDescent="0.25">
      <c r="A55" s="370"/>
      <c r="B55" s="371" t="s">
        <v>161</v>
      </c>
      <c r="C55" s="372"/>
      <c r="D55" s="493">
        <f t="shared" ref="D55:G56" si="23">D59+D62+D65+D68+D71</f>
        <v>744912700</v>
      </c>
      <c r="E55" s="493">
        <f t="shared" si="23"/>
        <v>740233517.01999998</v>
      </c>
      <c r="F55" s="493">
        <f t="shared" si="23"/>
        <v>739963517.01999998</v>
      </c>
      <c r="G55" s="493">
        <f t="shared" si="23"/>
        <v>4679182.9800000191</v>
      </c>
      <c r="H55" s="280">
        <f t="shared" si="21"/>
        <v>0</v>
      </c>
      <c r="I55" s="280">
        <f t="shared" si="3"/>
        <v>0</v>
      </c>
    </row>
    <row r="56" spans="1:10" x14ac:dyDescent="0.25">
      <c r="A56" s="370"/>
      <c r="B56" s="371" t="s">
        <v>162</v>
      </c>
      <c r="C56" s="372"/>
      <c r="D56" s="493">
        <f t="shared" si="23"/>
        <v>0</v>
      </c>
      <c r="E56" s="493">
        <f t="shared" si="23"/>
        <v>0</v>
      </c>
      <c r="F56" s="493">
        <f t="shared" si="23"/>
        <v>0</v>
      </c>
      <c r="G56" s="493">
        <f t="shared" si="23"/>
        <v>0</v>
      </c>
      <c r="H56" s="280">
        <f t="shared" si="21"/>
        <v>0</v>
      </c>
      <c r="I56" s="280">
        <f t="shared" si="3"/>
        <v>0</v>
      </c>
    </row>
    <row r="57" spans="1:10" x14ac:dyDescent="0.25">
      <c r="A57" s="188"/>
      <c r="B57" s="464" t="s">
        <v>45</v>
      </c>
      <c r="C57" s="184"/>
      <c r="D57" s="277"/>
      <c r="E57" s="182"/>
      <c r="F57" s="182"/>
      <c r="G57" s="276"/>
      <c r="H57" s="280">
        <f t="shared" si="21"/>
        <v>0</v>
      </c>
      <c r="I57" s="280">
        <f t="shared" si="3"/>
        <v>0</v>
      </c>
    </row>
    <row r="58" spans="1:10" ht="171.6" x14ac:dyDescent="0.25">
      <c r="A58" s="188"/>
      <c r="B58" s="465" t="s">
        <v>417</v>
      </c>
      <c r="C58" s="145" t="s">
        <v>221</v>
      </c>
      <c r="D58" s="275">
        <f>51199900-19312200</f>
        <v>31887700</v>
      </c>
      <c r="E58" s="182">
        <f>'Прочая  субсидия_МР  и  ГО'!AR38</f>
        <v>27519517</v>
      </c>
      <c r="F58" s="182">
        <f>'Прочая  субсидия_МР  и  ГО'!AS38</f>
        <v>27519517</v>
      </c>
      <c r="G58" s="276">
        <f t="shared" ref="G58:G63" si="24">D58-E58</f>
        <v>4368183</v>
      </c>
      <c r="H58" s="280">
        <f t="shared" si="21"/>
        <v>0</v>
      </c>
      <c r="I58" s="280">
        <f t="shared" si="3"/>
        <v>0</v>
      </c>
    </row>
    <row r="59" spans="1:10" x14ac:dyDescent="0.25">
      <c r="A59" s="378"/>
      <c r="B59" s="379" t="s">
        <v>161</v>
      </c>
      <c r="C59" s="380"/>
      <c r="D59" s="382">
        <f>D58</f>
        <v>31887700</v>
      </c>
      <c r="E59" s="382">
        <f>E58</f>
        <v>27519517</v>
      </c>
      <c r="F59" s="382">
        <f>F58</f>
        <v>27519517</v>
      </c>
      <c r="G59" s="382">
        <f t="shared" si="24"/>
        <v>4368183</v>
      </c>
      <c r="H59" s="280">
        <f t="shared" si="21"/>
        <v>0</v>
      </c>
      <c r="I59" s="280">
        <f t="shared" si="3"/>
        <v>0</v>
      </c>
    </row>
    <row r="60" spans="1:10" x14ac:dyDescent="0.25">
      <c r="A60" s="378"/>
      <c r="B60" s="379" t="s">
        <v>162</v>
      </c>
      <c r="C60" s="380"/>
      <c r="D60" s="382">
        <f>D58-D59</f>
        <v>0</v>
      </c>
      <c r="E60" s="382">
        <f>E58-E59</f>
        <v>0</v>
      </c>
      <c r="F60" s="382">
        <f>F58-F59</f>
        <v>0</v>
      </c>
      <c r="G60" s="382">
        <f t="shared" si="24"/>
        <v>0</v>
      </c>
      <c r="H60" s="280">
        <f t="shared" si="21"/>
        <v>0</v>
      </c>
      <c r="I60" s="280">
        <f t="shared" si="3"/>
        <v>0</v>
      </c>
    </row>
    <row r="61" spans="1:10" ht="158.4" x14ac:dyDescent="0.25">
      <c r="A61" s="245"/>
      <c r="B61" s="465" t="s">
        <v>332</v>
      </c>
      <c r="C61" s="145" t="s">
        <v>331</v>
      </c>
      <c r="D61" s="275">
        <v>61500000</v>
      </c>
      <c r="E61" s="182">
        <f>'Прочая  субсидия_МР  и  ГО'!AT38</f>
        <v>61300000</v>
      </c>
      <c r="F61" s="182">
        <f>'Прочая  субсидия_МР  и  ГО'!AU38</f>
        <v>61300000</v>
      </c>
      <c r="G61" s="276">
        <f t="shared" si="24"/>
        <v>200000</v>
      </c>
      <c r="H61" s="280">
        <f t="shared" si="21"/>
        <v>0</v>
      </c>
      <c r="I61" s="280">
        <f t="shared" ref="I61:I66" si="25">IF(G61&lt;0,1,0)</f>
        <v>0</v>
      </c>
    </row>
    <row r="62" spans="1:10" x14ac:dyDescent="0.25">
      <c r="A62" s="378"/>
      <c r="B62" s="379" t="s">
        <v>161</v>
      </c>
      <c r="C62" s="380"/>
      <c r="D62" s="382">
        <f>D61</f>
        <v>61500000</v>
      </c>
      <c r="E62" s="382">
        <f>E61</f>
        <v>61300000</v>
      </c>
      <c r="F62" s="382">
        <f>F61</f>
        <v>61300000</v>
      </c>
      <c r="G62" s="382">
        <f t="shared" si="24"/>
        <v>200000</v>
      </c>
      <c r="H62" s="280">
        <f t="shared" si="21"/>
        <v>0</v>
      </c>
      <c r="I62" s="280">
        <f t="shared" si="25"/>
        <v>0</v>
      </c>
    </row>
    <row r="63" spans="1:10" x14ac:dyDescent="0.25">
      <c r="A63" s="378"/>
      <c r="B63" s="379" t="s">
        <v>162</v>
      </c>
      <c r="C63" s="380"/>
      <c r="D63" s="382">
        <f>D61-D62</f>
        <v>0</v>
      </c>
      <c r="E63" s="382">
        <f>E61-E62</f>
        <v>0</v>
      </c>
      <c r="F63" s="382">
        <f>F61-F62</f>
        <v>0</v>
      </c>
      <c r="G63" s="382">
        <f t="shared" si="24"/>
        <v>0</v>
      </c>
      <c r="H63" s="280">
        <f t="shared" si="21"/>
        <v>0</v>
      </c>
      <c r="I63" s="280">
        <f t="shared" si="25"/>
        <v>0</v>
      </c>
    </row>
    <row r="64" spans="1:10" ht="158.4" x14ac:dyDescent="0.25">
      <c r="A64" s="258"/>
      <c r="B64" s="468" t="s">
        <v>420</v>
      </c>
      <c r="C64" s="145" t="s">
        <v>394</v>
      </c>
      <c r="D64" s="197">
        <v>40425000</v>
      </c>
      <c r="E64" s="195">
        <f>'Прочая  субсидия_МР  и  ГО'!AV38</f>
        <v>40425000</v>
      </c>
      <c r="F64" s="195">
        <f>'Прочая  субсидия_МР  и  ГО'!AW38</f>
        <v>40425000</v>
      </c>
      <c r="G64" s="276">
        <f t="shared" ref="G64:G69" si="26">D64-E64</f>
        <v>0</v>
      </c>
      <c r="H64" s="280">
        <f t="shared" ref="H64:H66" si="27">IF(F64&gt;E64,1,0)</f>
        <v>0</v>
      </c>
      <c r="I64" s="280">
        <f t="shared" si="25"/>
        <v>0</v>
      </c>
    </row>
    <row r="65" spans="1:12" x14ac:dyDescent="0.25">
      <c r="A65" s="378"/>
      <c r="B65" s="379" t="s">
        <v>161</v>
      </c>
      <c r="C65" s="380"/>
      <c r="D65" s="382">
        <f>D64</f>
        <v>40425000</v>
      </c>
      <c r="E65" s="382">
        <f>E64</f>
        <v>40425000</v>
      </c>
      <c r="F65" s="382">
        <f>F64</f>
        <v>40425000</v>
      </c>
      <c r="G65" s="382">
        <f t="shared" si="26"/>
        <v>0</v>
      </c>
      <c r="H65" s="280">
        <f t="shared" si="27"/>
        <v>0</v>
      </c>
      <c r="I65" s="280">
        <f t="shared" si="25"/>
        <v>0</v>
      </c>
    </row>
    <row r="66" spans="1:12" x14ac:dyDescent="0.25">
      <c r="A66" s="378"/>
      <c r="B66" s="379" t="s">
        <v>162</v>
      </c>
      <c r="C66" s="380"/>
      <c r="D66" s="382">
        <f>D64-D65</f>
        <v>0</v>
      </c>
      <c r="E66" s="382">
        <f>E64-E65</f>
        <v>0</v>
      </c>
      <c r="F66" s="382">
        <f>F64-F65</f>
        <v>0</v>
      </c>
      <c r="G66" s="382">
        <f t="shared" si="26"/>
        <v>0</v>
      </c>
      <c r="H66" s="280">
        <f t="shared" si="27"/>
        <v>0</v>
      </c>
      <c r="I66" s="280">
        <f t="shared" si="25"/>
        <v>0</v>
      </c>
    </row>
    <row r="67" spans="1:12" ht="132" x14ac:dyDescent="0.25">
      <c r="A67" s="258"/>
      <c r="B67" s="468" t="s">
        <v>619</v>
      </c>
      <c r="C67" s="145" t="s">
        <v>416</v>
      </c>
      <c r="D67" s="197">
        <v>611100000</v>
      </c>
      <c r="E67" s="195">
        <f>'Прочая  субсидия_МР  и  ГО'!AX38</f>
        <v>610989000.01999998</v>
      </c>
      <c r="F67" s="195">
        <f>'Прочая  субсидия_МР  и  ГО'!AY38</f>
        <v>610719000.01999998</v>
      </c>
      <c r="G67" s="276">
        <f t="shared" si="26"/>
        <v>110999.98000001907</v>
      </c>
      <c r="H67" s="280">
        <f t="shared" ref="H67:H69" si="28">IF(F67&gt;E67,1,0)</f>
        <v>0</v>
      </c>
      <c r="I67" s="280">
        <f t="shared" ref="I67:I69" si="29">IF(G67&lt;0,1,0)</f>
        <v>0</v>
      </c>
    </row>
    <row r="68" spans="1:12" x14ac:dyDescent="0.25">
      <c r="A68" s="378"/>
      <c r="B68" s="379" t="s">
        <v>161</v>
      </c>
      <c r="C68" s="380"/>
      <c r="D68" s="382">
        <f>D67</f>
        <v>611100000</v>
      </c>
      <c r="E68" s="382">
        <f>E67</f>
        <v>610989000.01999998</v>
      </c>
      <c r="F68" s="382">
        <f>F67</f>
        <v>610719000.01999998</v>
      </c>
      <c r="G68" s="382">
        <f t="shared" si="26"/>
        <v>110999.98000001907</v>
      </c>
      <c r="H68" s="280">
        <f t="shared" si="28"/>
        <v>0</v>
      </c>
      <c r="I68" s="280">
        <f t="shared" si="29"/>
        <v>0</v>
      </c>
    </row>
    <row r="69" spans="1:12" x14ac:dyDescent="0.25">
      <c r="A69" s="378"/>
      <c r="B69" s="379" t="s">
        <v>162</v>
      </c>
      <c r="C69" s="380"/>
      <c r="D69" s="382">
        <f>D67-D68</f>
        <v>0</v>
      </c>
      <c r="E69" s="382">
        <f>E67-E68</f>
        <v>0</v>
      </c>
      <c r="F69" s="382">
        <f>F67-F68</f>
        <v>0</v>
      </c>
      <c r="G69" s="382">
        <f t="shared" si="26"/>
        <v>0</v>
      </c>
      <c r="H69" s="280">
        <f t="shared" si="28"/>
        <v>0</v>
      </c>
      <c r="I69" s="280">
        <f t="shared" si="29"/>
        <v>0</v>
      </c>
    </row>
    <row r="70" spans="1:12" ht="132" hidden="1" x14ac:dyDescent="0.25">
      <c r="A70" s="1151"/>
      <c r="B70" s="468" t="s">
        <v>559</v>
      </c>
      <c r="C70" s="145" t="s">
        <v>558</v>
      </c>
      <c r="D70" s="197">
        <f>105000000-105000000</f>
        <v>0</v>
      </c>
      <c r="E70" s="195">
        <f>'Прочая  субсидия_МР  и  ГО'!AZ38</f>
        <v>0</v>
      </c>
      <c r="F70" s="195">
        <f>'Прочая  субсидия_МР  и  ГО'!BA38</f>
        <v>0</v>
      </c>
      <c r="G70" s="276">
        <f t="shared" ref="G70:G72" si="30">D70-E70</f>
        <v>0</v>
      </c>
      <c r="H70" s="280">
        <f t="shared" ref="H70:H72" si="31">IF(F70&gt;E70,1,0)</f>
        <v>0</v>
      </c>
      <c r="I70" s="280">
        <f t="shared" ref="I70:I72" si="32">IF(G70&lt;0,1,0)</f>
        <v>0</v>
      </c>
    </row>
    <row r="71" spans="1:12" hidden="1" x14ac:dyDescent="0.25">
      <c r="A71" s="378"/>
      <c r="B71" s="379" t="s">
        <v>161</v>
      </c>
      <c r="C71" s="380"/>
      <c r="D71" s="382">
        <f>D70</f>
        <v>0</v>
      </c>
      <c r="E71" s="382">
        <f>E70</f>
        <v>0</v>
      </c>
      <c r="F71" s="382">
        <f>F70</f>
        <v>0</v>
      </c>
      <c r="G71" s="382">
        <f t="shared" si="30"/>
        <v>0</v>
      </c>
      <c r="H71" s="280">
        <f t="shared" si="31"/>
        <v>0</v>
      </c>
      <c r="I71" s="280">
        <f t="shared" si="32"/>
        <v>0</v>
      </c>
    </row>
    <row r="72" spans="1:12" hidden="1" x14ac:dyDescent="0.25">
      <c r="A72" s="378"/>
      <c r="B72" s="379" t="s">
        <v>162</v>
      </c>
      <c r="C72" s="380"/>
      <c r="D72" s="382">
        <f>D70-D71</f>
        <v>0</v>
      </c>
      <c r="E72" s="382">
        <f>E70-E71</f>
        <v>0</v>
      </c>
      <c r="F72" s="382">
        <f>F70-F71</f>
        <v>0</v>
      </c>
      <c r="G72" s="382">
        <f t="shared" si="30"/>
        <v>0</v>
      </c>
      <c r="H72" s="280">
        <f t="shared" si="31"/>
        <v>0</v>
      </c>
      <c r="I72" s="280">
        <f t="shared" si="32"/>
        <v>0</v>
      </c>
    </row>
    <row r="73" spans="1:12" s="837" customFormat="1" x14ac:dyDescent="0.25">
      <c r="A73" s="245"/>
      <c r="B73" s="465"/>
      <c r="C73" s="246"/>
      <c r="D73" s="197"/>
      <c r="E73" s="195"/>
      <c r="F73" s="195"/>
      <c r="G73" s="279"/>
      <c r="H73" s="280">
        <f t="shared" si="21"/>
        <v>0</v>
      </c>
      <c r="I73" s="280">
        <f t="shared" si="3"/>
        <v>0</v>
      </c>
      <c r="J73" s="823"/>
    </row>
    <row r="74" spans="1:12" x14ac:dyDescent="0.25">
      <c r="A74" s="180" t="s">
        <v>134</v>
      </c>
      <c r="B74" s="247" t="s">
        <v>165</v>
      </c>
      <c r="C74" s="186"/>
      <c r="D74" s="278">
        <f>D88+D85+D79+D82+D97+D91+D94+D100+D104</f>
        <v>1831809806.77</v>
      </c>
      <c r="E74" s="278">
        <f t="shared" ref="E74:G74" si="33">E88+E85+E79+E82+E97+E91+E94+E100+E104</f>
        <v>1821403488.3200002</v>
      </c>
      <c r="F74" s="278">
        <f t="shared" si="33"/>
        <v>750349998.17999995</v>
      </c>
      <c r="G74" s="278">
        <f t="shared" si="33"/>
        <v>10406318.449999891</v>
      </c>
      <c r="H74" s="280">
        <f t="shared" si="21"/>
        <v>0</v>
      </c>
      <c r="I74" s="280">
        <f t="shared" si="3"/>
        <v>0</v>
      </c>
    </row>
    <row r="75" spans="1:12" x14ac:dyDescent="0.25">
      <c r="A75" s="370"/>
      <c r="B75" s="371" t="s">
        <v>161</v>
      </c>
      <c r="C75" s="372"/>
      <c r="D75" s="493">
        <f>D89+D86+D80+D83+D98+D92+D95+D101+D105</f>
        <v>1022367613.3299999</v>
      </c>
      <c r="E75" s="493">
        <f t="shared" ref="E75:G75" si="34">E89+E86+E80+E83+E98+E92+E95+E101+E105</f>
        <v>1021347813.33</v>
      </c>
      <c r="F75" s="493">
        <f t="shared" si="34"/>
        <v>571970862.20999992</v>
      </c>
      <c r="G75" s="493">
        <f t="shared" si="34"/>
        <v>1019799.9999999404</v>
      </c>
      <c r="H75" s="280">
        <f t="shared" si="21"/>
        <v>0</v>
      </c>
      <c r="I75" s="280">
        <f t="shared" si="3"/>
        <v>0</v>
      </c>
    </row>
    <row r="76" spans="1:12" x14ac:dyDescent="0.25">
      <c r="A76" s="370"/>
      <c r="B76" s="371" t="s">
        <v>162</v>
      </c>
      <c r="C76" s="372"/>
      <c r="D76" s="493">
        <f>D90+D87+D81+D84+D99+D93+D96+D102+D106</f>
        <v>760504064.88</v>
      </c>
      <c r="E76" s="493">
        <f t="shared" ref="E76:G76" si="35">E90+E87+E81+E84+E99+E93+E96+E102+E106</f>
        <v>751117546.42999995</v>
      </c>
      <c r="F76" s="493">
        <f t="shared" si="35"/>
        <v>165705500.61000001</v>
      </c>
      <c r="G76" s="493">
        <f t="shared" si="35"/>
        <v>9386518.4499999508</v>
      </c>
      <c r="H76" s="280">
        <f t="shared" si="21"/>
        <v>0</v>
      </c>
      <c r="I76" s="280">
        <f t="shared" si="3"/>
        <v>0</v>
      </c>
    </row>
    <row r="77" spans="1:12" x14ac:dyDescent="0.25">
      <c r="A77" s="370"/>
      <c r="B77" s="371" t="s">
        <v>402</v>
      </c>
      <c r="C77" s="372"/>
      <c r="D77" s="493">
        <f>D74-D75-D76</f>
        <v>48938128.560000062</v>
      </c>
      <c r="E77" s="493">
        <f t="shared" ref="E77:G77" si="36">E74-E75-E76</f>
        <v>48938128.560000181</v>
      </c>
      <c r="F77" s="493">
        <f t="shared" si="36"/>
        <v>12673635.360000014</v>
      </c>
      <c r="G77" s="493">
        <f t="shared" si="36"/>
        <v>0</v>
      </c>
      <c r="H77" s="280">
        <f t="shared" ref="H77" si="37">IF(F77&gt;E77,1,0)</f>
        <v>0</v>
      </c>
      <c r="I77" s="280">
        <f t="shared" ref="I77" si="38">IF(G77&lt;0,1,0)</f>
        <v>0</v>
      </c>
    </row>
    <row r="78" spans="1:12" x14ac:dyDescent="0.25">
      <c r="A78" s="188"/>
      <c r="B78" s="464" t="s">
        <v>45</v>
      </c>
      <c r="C78" s="184"/>
      <c r="D78" s="277"/>
      <c r="E78" s="182"/>
      <c r="F78" s="182"/>
      <c r="G78" s="276"/>
      <c r="H78" s="280">
        <f t="shared" si="21"/>
        <v>0</v>
      </c>
      <c r="I78" s="280">
        <f t="shared" si="3"/>
        <v>0</v>
      </c>
    </row>
    <row r="79" spans="1:12" ht="250.8" x14ac:dyDescent="0.25">
      <c r="A79" s="1148"/>
      <c r="B79" s="468" t="s">
        <v>562</v>
      </c>
      <c r="C79" s="145" t="s">
        <v>345</v>
      </c>
      <c r="D79" s="197">
        <f>26226220+3500000-1019800</f>
        <v>28706420</v>
      </c>
      <c r="E79" s="195">
        <f>'Проверочная  таблица'!OX38</f>
        <v>28653989.030000001</v>
      </c>
      <c r="F79" s="195">
        <f>'Проверочная  таблица'!PE38</f>
        <v>9432992.1300000008</v>
      </c>
      <c r="G79" s="276">
        <f t="shared" ref="G79:G81" si="39">D79-E79</f>
        <v>52430.969999998808</v>
      </c>
      <c r="H79" s="280">
        <f t="shared" ref="H79:H84" si="40">IF(F79&gt;E79,1,0)</f>
        <v>0</v>
      </c>
      <c r="I79" s="280">
        <f t="shared" si="3"/>
        <v>0</v>
      </c>
      <c r="J79" s="820">
        <f>D79+D82</f>
        <v>71517209.879999995</v>
      </c>
      <c r="K79" s="1486">
        <v>71517209.879999995</v>
      </c>
      <c r="L79" s="1487">
        <f>K79-J79</f>
        <v>0</v>
      </c>
    </row>
    <row r="80" spans="1:12" x14ac:dyDescent="0.25">
      <c r="A80" s="378"/>
      <c r="B80" s="484" t="s">
        <v>161</v>
      </c>
      <c r="C80" s="380"/>
      <c r="D80" s="382"/>
      <c r="E80" s="382"/>
      <c r="F80" s="382"/>
      <c r="G80" s="483">
        <f t="shared" si="39"/>
        <v>0</v>
      </c>
      <c r="H80" s="280">
        <f t="shared" si="40"/>
        <v>0</v>
      </c>
      <c r="I80" s="280">
        <f t="shared" si="3"/>
        <v>0</v>
      </c>
    </row>
    <row r="81" spans="1:10" x14ac:dyDescent="0.25">
      <c r="A81" s="378"/>
      <c r="B81" s="484" t="s">
        <v>162</v>
      </c>
      <c r="C81" s="380"/>
      <c r="D81" s="382">
        <f>D79-D80</f>
        <v>28706420</v>
      </c>
      <c r="E81" s="382">
        <f>E79-E80</f>
        <v>28653989.030000001</v>
      </c>
      <c r="F81" s="382">
        <f>F79-F80</f>
        <v>9432992.1300000008</v>
      </c>
      <c r="G81" s="483">
        <f t="shared" si="39"/>
        <v>52430.969999998808</v>
      </c>
      <c r="H81" s="280">
        <f t="shared" si="40"/>
        <v>0</v>
      </c>
      <c r="I81" s="280">
        <f t="shared" si="3"/>
        <v>0</v>
      </c>
      <c r="J81" s="824"/>
    </row>
    <row r="82" spans="1:10" x14ac:dyDescent="0.25">
      <c r="A82" s="689"/>
      <c r="B82" s="690" t="s">
        <v>66</v>
      </c>
      <c r="C82" s="676" t="s">
        <v>345</v>
      </c>
      <c r="D82" s="691">
        <f>36261700+6549089.88</f>
        <v>42810789.880000003</v>
      </c>
      <c r="E82" s="688">
        <f>'Проверочная  таблица'!OY38</f>
        <v>41400687.959999993</v>
      </c>
      <c r="F82" s="688">
        <f>'Проверочная  таблица'!PF38</f>
        <v>14824760.800000001</v>
      </c>
      <c r="G82" s="692">
        <f>D82-E82</f>
        <v>1410101.9200000092</v>
      </c>
      <c r="H82" s="280">
        <f t="shared" si="40"/>
        <v>0</v>
      </c>
      <c r="I82" s="280">
        <f t="shared" ref="I82:I84" si="41">IF(G82&lt;0,1,0)</f>
        <v>0</v>
      </c>
    </row>
    <row r="83" spans="1:10" x14ac:dyDescent="0.25">
      <c r="A83" s="689"/>
      <c r="B83" s="693" t="s">
        <v>161</v>
      </c>
      <c r="C83" s="694"/>
      <c r="D83" s="695">
        <v>0</v>
      </c>
      <c r="E83" s="695">
        <v>0</v>
      </c>
      <c r="F83" s="695">
        <v>0</v>
      </c>
      <c r="G83" s="692">
        <f>D83-E83</f>
        <v>0</v>
      </c>
      <c r="H83" s="280">
        <f t="shared" si="40"/>
        <v>0</v>
      </c>
      <c r="I83" s="280">
        <f t="shared" si="41"/>
        <v>0</v>
      </c>
    </row>
    <row r="84" spans="1:10" x14ac:dyDescent="0.25">
      <c r="A84" s="689"/>
      <c r="B84" s="693" t="s">
        <v>162</v>
      </c>
      <c r="C84" s="694"/>
      <c r="D84" s="692">
        <f>D82-D83</f>
        <v>42810789.880000003</v>
      </c>
      <c r="E84" s="692">
        <f>E82-E83</f>
        <v>41400687.959999993</v>
      </c>
      <c r="F84" s="692">
        <f>F82-F83</f>
        <v>14824760.800000001</v>
      </c>
      <c r="G84" s="692">
        <f>D84-E84</f>
        <v>1410101.9200000092</v>
      </c>
      <c r="H84" s="280">
        <f t="shared" si="40"/>
        <v>0</v>
      </c>
      <c r="I84" s="280">
        <f t="shared" si="41"/>
        <v>0</v>
      </c>
      <c r="J84" s="824"/>
    </row>
    <row r="85" spans="1:10" ht="198" x14ac:dyDescent="0.25">
      <c r="A85" s="258"/>
      <c r="B85" s="468" t="s">
        <v>256</v>
      </c>
      <c r="C85" s="145" t="s">
        <v>229</v>
      </c>
      <c r="D85" s="197">
        <f>322668000+42907858.41-3500000-9000000</f>
        <v>353075858.40999997</v>
      </c>
      <c r="E85" s="195">
        <f>'Проверочная  таблица'!CH38</f>
        <v>345151872.85000002</v>
      </c>
      <c r="F85" s="195">
        <f>'Проверочная  таблица'!CM38</f>
        <v>28947701.23</v>
      </c>
      <c r="G85" s="276">
        <f t="shared" ref="G85" si="42">D85-E85</f>
        <v>7923985.5599999428</v>
      </c>
      <c r="H85" s="280">
        <f t="shared" ref="H85:H87" si="43">IF(F85&gt;E85,1,0)</f>
        <v>0</v>
      </c>
      <c r="I85" s="280">
        <f t="shared" si="3"/>
        <v>0</v>
      </c>
    </row>
    <row r="86" spans="1:10" x14ac:dyDescent="0.25">
      <c r="A86" s="378"/>
      <c r="B86" s="379" t="s">
        <v>161</v>
      </c>
      <c r="C86" s="380"/>
      <c r="D86" s="382">
        <v>0</v>
      </c>
      <c r="E86" s="382">
        <v>0</v>
      </c>
      <c r="F86" s="382">
        <v>0</v>
      </c>
      <c r="G86" s="382">
        <v>0</v>
      </c>
      <c r="H86" s="280">
        <f t="shared" si="43"/>
        <v>0</v>
      </c>
      <c r="I86" s="280">
        <f t="shared" ref="I86:I175" si="44">IF(G86&lt;0,1,0)</f>
        <v>0</v>
      </c>
    </row>
    <row r="87" spans="1:10" x14ac:dyDescent="0.25">
      <c r="A87" s="378"/>
      <c r="B87" s="379" t="s">
        <v>162</v>
      </c>
      <c r="C87" s="380"/>
      <c r="D87" s="382">
        <f>D85-D86</f>
        <v>353075858.40999997</v>
      </c>
      <c r="E87" s="382">
        <f>E85-E86</f>
        <v>345151872.85000002</v>
      </c>
      <c r="F87" s="382">
        <f>F85-F86</f>
        <v>28947701.23</v>
      </c>
      <c r="G87" s="382">
        <f>G85-G86</f>
        <v>7923985.5599999428</v>
      </c>
      <c r="H87" s="280">
        <f t="shared" si="43"/>
        <v>0</v>
      </c>
      <c r="I87" s="280">
        <f t="shared" si="44"/>
        <v>0</v>
      </c>
    </row>
    <row r="88" spans="1:10" ht="158.4" x14ac:dyDescent="0.25">
      <c r="A88" s="258"/>
      <c r="B88" s="468" t="s">
        <v>254</v>
      </c>
      <c r="C88" s="145" t="s">
        <v>242</v>
      </c>
      <c r="D88" s="197">
        <f>519335313.33+1019800</f>
        <v>520355113.32999998</v>
      </c>
      <c r="E88" s="195">
        <f>'Проверочная  таблица'!CI38</f>
        <v>519335313.33000004</v>
      </c>
      <c r="F88" s="195">
        <f>'Проверочная  таблица'!CN38</f>
        <v>358501270.30999994</v>
      </c>
      <c r="G88" s="276">
        <f t="shared" ref="G88:G90" si="45">D88-E88</f>
        <v>1019799.9999999404</v>
      </c>
      <c r="H88" s="280">
        <f>IF(F88&gt;E88,1,0)</f>
        <v>0</v>
      </c>
      <c r="I88" s="280">
        <f t="shared" si="44"/>
        <v>0</v>
      </c>
    </row>
    <row r="89" spans="1:10" x14ac:dyDescent="0.25">
      <c r="A89" s="378"/>
      <c r="B89" s="379" t="s">
        <v>161</v>
      </c>
      <c r="C89" s="380"/>
      <c r="D89" s="382">
        <f>D88</f>
        <v>520355113.32999998</v>
      </c>
      <c r="E89" s="382">
        <f>E88</f>
        <v>519335313.33000004</v>
      </c>
      <c r="F89" s="382">
        <f>F88</f>
        <v>358501270.30999994</v>
      </c>
      <c r="G89" s="382">
        <f t="shared" si="45"/>
        <v>1019799.9999999404</v>
      </c>
      <c r="H89" s="280">
        <f>IF(F89&gt;E89,1,0)</f>
        <v>0</v>
      </c>
      <c r="I89" s="280">
        <f t="shared" si="44"/>
        <v>0</v>
      </c>
    </row>
    <row r="90" spans="1:10" x14ac:dyDescent="0.25">
      <c r="A90" s="378"/>
      <c r="B90" s="379" t="s">
        <v>162</v>
      </c>
      <c r="C90" s="380"/>
      <c r="D90" s="382">
        <f>D88-D89</f>
        <v>0</v>
      </c>
      <c r="E90" s="382">
        <f>E88-E89</f>
        <v>0</v>
      </c>
      <c r="F90" s="382">
        <f>F88-F89</f>
        <v>0</v>
      </c>
      <c r="G90" s="382">
        <f t="shared" si="45"/>
        <v>0</v>
      </c>
      <c r="H90" s="280">
        <f>IF(F90&gt;E90,1,0)</f>
        <v>0</v>
      </c>
      <c r="I90" s="280">
        <f t="shared" si="44"/>
        <v>0</v>
      </c>
    </row>
    <row r="91" spans="1:10" ht="132" x14ac:dyDescent="0.25">
      <c r="A91" s="258"/>
      <c r="B91" s="468" t="s">
        <v>419</v>
      </c>
      <c r="C91" s="145" t="s">
        <v>418</v>
      </c>
      <c r="D91" s="197">
        <f>108258855-6407858.41+9000000</f>
        <v>110850996.59</v>
      </c>
      <c r="E91" s="195">
        <f>'Прочая  субсидия_МР  и  ГО'!AP38</f>
        <v>110850996.59</v>
      </c>
      <c r="F91" s="195">
        <f>'Прочая  субсидия_МР  и  ГО'!AQ38</f>
        <v>102889342.87</v>
      </c>
      <c r="G91" s="276">
        <f t="shared" ref="G91:G93" si="46">D91-E91</f>
        <v>0</v>
      </c>
      <c r="H91" s="280">
        <f t="shared" ref="H91:H93" si="47">IF(F91&gt;E91,1,0)</f>
        <v>0</v>
      </c>
      <c r="I91" s="280">
        <f t="shared" ref="I91:I93" si="48">IF(G91&lt;0,1,0)</f>
        <v>0</v>
      </c>
    </row>
    <row r="92" spans="1:10" x14ac:dyDescent="0.25">
      <c r="A92" s="378"/>
      <c r="B92" s="379" t="s">
        <v>161</v>
      </c>
      <c r="C92" s="380"/>
      <c r="D92" s="382"/>
      <c r="E92" s="382"/>
      <c r="F92" s="382"/>
      <c r="G92" s="382">
        <f t="shared" si="46"/>
        <v>0</v>
      </c>
      <c r="H92" s="280">
        <f t="shared" si="47"/>
        <v>0</v>
      </c>
      <c r="I92" s="280">
        <f t="shared" si="48"/>
        <v>0</v>
      </c>
    </row>
    <row r="93" spans="1:10" x14ac:dyDescent="0.25">
      <c r="A93" s="378"/>
      <c r="B93" s="379" t="s">
        <v>162</v>
      </c>
      <c r="C93" s="380"/>
      <c r="D93" s="382">
        <f>D91-D92</f>
        <v>110850996.59</v>
      </c>
      <c r="E93" s="382">
        <f>E91-E92</f>
        <v>110850996.59</v>
      </c>
      <c r="F93" s="382">
        <f>F91-F92</f>
        <v>102889342.87</v>
      </c>
      <c r="G93" s="382">
        <f t="shared" si="46"/>
        <v>0</v>
      </c>
      <c r="H93" s="280">
        <f t="shared" si="47"/>
        <v>0</v>
      </c>
      <c r="I93" s="280">
        <f t="shared" si="48"/>
        <v>0</v>
      </c>
    </row>
    <row r="94" spans="1:10" ht="132" x14ac:dyDescent="0.25">
      <c r="A94" s="258"/>
      <c r="B94" s="468" t="s">
        <v>641</v>
      </c>
      <c r="C94" s="145" t="s">
        <v>640</v>
      </c>
      <c r="D94" s="197">
        <f>100000000-20000000</f>
        <v>80000000</v>
      </c>
      <c r="E94" s="195">
        <f>'Проверочная  таблица'!CJ38</f>
        <v>80000000</v>
      </c>
      <c r="F94" s="195">
        <f>'Проверочная  таблица'!CO38</f>
        <v>10256662.810000001</v>
      </c>
      <c r="G94" s="276">
        <f t="shared" ref="G94:G96" si="49">D94-E94</f>
        <v>0</v>
      </c>
      <c r="H94" s="280">
        <f t="shared" ref="H94:H96" si="50">IF(F94&gt;E94,1,0)</f>
        <v>0</v>
      </c>
      <c r="I94" s="280">
        <f t="shared" ref="I94:I96" si="51">IF(G94&lt;0,1,0)</f>
        <v>0</v>
      </c>
    </row>
    <row r="95" spans="1:10" x14ac:dyDescent="0.25">
      <c r="A95" s="378"/>
      <c r="B95" s="379" t="s">
        <v>161</v>
      </c>
      <c r="C95" s="380"/>
      <c r="D95" s="382">
        <f>D94</f>
        <v>80000000</v>
      </c>
      <c r="E95" s="382">
        <f t="shared" ref="E95:F95" si="52">E94</f>
        <v>80000000</v>
      </c>
      <c r="F95" s="382">
        <f t="shared" si="52"/>
        <v>10256662.810000001</v>
      </c>
      <c r="G95" s="382">
        <f t="shared" si="49"/>
        <v>0</v>
      </c>
      <c r="H95" s="280">
        <f t="shared" si="50"/>
        <v>0</v>
      </c>
      <c r="I95" s="280">
        <f t="shared" si="51"/>
        <v>0</v>
      </c>
    </row>
    <row r="96" spans="1:10" x14ac:dyDescent="0.25">
      <c r="A96" s="378"/>
      <c r="B96" s="379" t="s">
        <v>162</v>
      </c>
      <c r="C96" s="380"/>
      <c r="D96" s="382"/>
      <c r="E96" s="382"/>
      <c r="F96" s="382"/>
      <c r="G96" s="382">
        <f t="shared" si="49"/>
        <v>0</v>
      </c>
      <c r="H96" s="280">
        <f t="shared" si="50"/>
        <v>0</v>
      </c>
      <c r="I96" s="280">
        <f t="shared" si="51"/>
        <v>0</v>
      </c>
    </row>
    <row r="97" spans="1:11" ht="145.19999999999999" x14ac:dyDescent="0.25">
      <c r="A97" s="258"/>
      <c r="B97" s="468" t="s">
        <v>642</v>
      </c>
      <c r="C97" s="145" t="s">
        <v>643</v>
      </c>
      <c r="D97" s="197">
        <v>647072500</v>
      </c>
      <c r="E97" s="195">
        <f>'Проверочная  таблица'!CK38</f>
        <v>647072500</v>
      </c>
      <c r="F97" s="195">
        <f>'Проверочная  таблица'!CP38</f>
        <v>212823632.67000002</v>
      </c>
      <c r="G97" s="276">
        <f>D97-E97</f>
        <v>0</v>
      </c>
      <c r="H97" s="280">
        <f>IF(F97&gt;E97,1,0)</f>
        <v>0</v>
      </c>
      <c r="I97" s="280">
        <f>IF(G97&lt;0,1,0)</f>
        <v>0</v>
      </c>
    </row>
    <row r="98" spans="1:11" x14ac:dyDescent="0.25">
      <c r="A98" s="378"/>
      <c r="B98" s="379" t="s">
        <v>161</v>
      </c>
      <c r="C98" s="380"/>
      <c r="D98" s="382">
        <f>D97-D99</f>
        <v>422012500</v>
      </c>
      <c r="E98" s="382">
        <f t="shared" ref="E98:F98" si="53">E97-E99</f>
        <v>422012500</v>
      </c>
      <c r="F98" s="382">
        <f t="shared" si="53"/>
        <v>203212929.09</v>
      </c>
      <c r="G98" s="382">
        <f>D98-E98</f>
        <v>0</v>
      </c>
      <c r="H98" s="280">
        <f>IF(F98&gt;E98,1,0)</f>
        <v>0</v>
      </c>
      <c r="I98" s="280">
        <f>IF(G98&lt;0,1,0)</f>
        <v>0</v>
      </c>
    </row>
    <row r="99" spans="1:11" x14ac:dyDescent="0.25">
      <c r="A99" s="378"/>
      <c r="B99" s="379" t="s">
        <v>162</v>
      </c>
      <c r="C99" s="380"/>
      <c r="D99" s="381">
        <v>225060000</v>
      </c>
      <c r="E99" s="381">
        <v>225060000</v>
      </c>
      <c r="F99" s="381">
        <v>9610703.5800000001</v>
      </c>
      <c r="G99" s="382">
        <f>D99-E99</f>
        <v>0</v>
      </c>
      <c r="H99" s="280">
        <f>IF(F99&gt;E99,1,0)</f>
        <v>0</v>
      </c>
      <c r="I99" s="280">
        <f>IF(G99&lt;0,1,0)</f>
        <v>0</v>
      </c>
      <c r="J99" s="821" t="s">
        <v>864</v>
      </c>
    </row>
    <row r="100" spans="1:11" ht="198" x14ac:dyDescent="0.25">
      <c r="A100" s="1295"/>
      <c r="B100" s="645" t="s">
        <v>553</v>
      </c>
      <c r="C100" s="145" t="s">
        <v>550</v>
      </c>
      <c r="D100" s="646">
        <v>2446906.4300000002</v>
      </c>
      <c r="E100" s="182">
        <f>D100</f>
        <v>2446906.4300000002</v>
      </c>
      <c r="F100" s="1494">
        <v>633681.76</v>
      </c>
      <c r="G100" s="276">
        <f t="shared" ref="G100:G104" si="54">D100-E100</f>
        <v>0</v>
      </c>
      <c r="H100" s="280">
        <f t="shared" ref="H100:H103" si="55">IF(F100&gt;E100,1,0)</f>
        <v>0</v>
      </c>
      <c r="I100" s="280">
        <f t="shared" ref="I100:I103" si="56">IF(G100&lt;0,1,0)</f>
        <v>0</v>
      </c>
      <c r="J100" s="820">
        <f>D100+D104</f>
        <v>48938128.560000002</v>
      </c>
      <c r="K100" s="820">
        <f>F100+F104</f>
        <v>12673635.359999999</v>
      </c>
    </row>
    <row r="101" spans="1:11" x14ac:dyDescent="0.25">
      <c r="A101" s="378"/>
      <c r="B101" s="379" t="s">
        <v>161</v>
      </c>
      <c r="C101" s="613"/>
      <c r="D101" s="382"/>
      <c r="E101" s="382"/>
      <c r="F101" s="382"/>
      <c r="G101" s="382">
        <f t="shared" si="54"/>
        <v>0</v>
      </c>
      <c r="H101" s="280">
        <f t="shared" si="55"/>
        <v>0</v>
      </c>
      <c r="I101" s="280">
        <f t="shared" si="56"/>
        <v>0</v>
      </c>
    </row>
    <row r="102" spans="1:11" x14ac:dyDescent="0.25">
      <c r="A102" s="378"/>
      <c r="B102" s="379" t="s">
        <v>162</v>
      </c>
      <c r="C102" s="380"/>
      <c r="D102" s="382"/>
      <c r="E102" s="382"/>
      <c r="F102" s="382"/>
      <c r="G102" s="382">
        <f t="shared" si="54"/>
        <v>0</v>
      </c>
      <c r="H102" s="280">
        <f t="shared" si="55"/>
        <v>0</v>
      </c>
      <c r="I102" s="280">
        <f t="shared" si="56"/>
        <v>0</v>
      </c>
    </row>
    <row r="103" spans="1:11" x14ac:dyDescent="0.25">
      <c r="A103" s="378"/>
      <c r="B103" s="379" t="s">
        <v>402</v>
      </c>
      <c r="C103" s="380"/>
      <c r="D103" s="382">
        <f>D100</f>
        <v>2446906.4300000002</v>
      </c>
      <c r="E103" s="382">
        <f t="shared" ref="E103:F103" si="57">E100</f>
        <v>2446906.4300000002</v>
      </c>
      <c r="F103" s="382">
        <f t="shared" si="57"/>
        <v>633681.76</v>
      </c>
      <c r="G103" s="382">
        <f t="shared" si="54"/>
        <v>0</v>
      </c>
      <c r="H103" s="280">
        <f t="shared" si="55"/>
        <v>0</v>
      </c>
      <c r="I103" s="280">
        <f t="shared" si="56"/>
        <v>0</v>
      </c>
    </row>
    <row r="104" spans="1:11" x14ac:dyDescent="0.25">
      <c r="A104" s="689"/>
      <c r="B104" s="690" t="s">
        <v>66</v>
      </c>
      <c r="C104" s="676" t="s">
        <v>550</v>
      </c>
      <c r="D104" s="691">
        <v>46491222.130000003</v>
      </c>
      <c r="E104" s="688">
        <f>D104</f>
        <v>46491222.130000003</v>
      </c>
      <c r="F104" s="1493">
        <v>12039953.6</v>
      </c>
      <c r="G104" s="692">
        <f t="shared" si="54"/>
        <v>0</v>
      </c>
      <c r="H104" s="280">
        <f>IF(F104&gt;E104,1,0)</f>
        <v>0</v>
      </c>
      <c r="I104" s="280">
        <f>IF(G104&lt;0,1,0)</f>
        <v>0</v>
      </c>
    </row>
    <row r="105" spans="1:11" x14ac:dyDescent="0.25">
      <c r="A105" s="689"/>
      <c r="B105" s="693" t="s">
        <v>161</v>
      </c>
      <c r="C105" s="694"/>
      <c r="D105" s="692"/>
      <c r="E105" s="692"/>
      <c r="F105" s="692"/>
      <c r="G105" s="692">
        <f>D105-E105</f>
        <v>0</v>
      </c>
      <c r="H105" s="280">
        <f>IF(F105&gt;E105,1,0)</f>
        <v>0</v>
      </c>
      <c r="I105" s="280">
        <f>IF(G105&lt;0,1,0)</f>
        <v>0</v>
      </c>
    </row>
    <row r="106" spans="1:11" x14ac:dyDescent="0.25">
      <c r="A106" s="689"/>
      <c r="B106" s="693" t="s">
        <v>162</v>
      </c>
      <c r="C106" s="694"/>
      <c r="D106" s="692"/>
      <c r="E106" s="692"/>
      <c r="F106" s="692"/>
      <c r="G106" s="692">
        <f>D106-E106</f>
        <v>0</v>
      </c>
      <c r="H106" s="280">
        <f>IF(F106&gt;E106,1,0)</f>
        <v>0</v>
      </c>
      <c r="I106" s="280">
        <f>IF(G106&lt;0,1,0)</f>
        <v>0</v>
      </c>
    </row>
    <row r="107" spans="1:11" x14ac:dyDescent="0.25">
      <c r="A107" s="689"/>
      <c r="B107" s="693" t="s">
        <v>402</v>
      </c>
      <c r="C107" s="694"/>
      <c r="D107" s="1175">
        <f>D104</f>
        <v>46491222.130000003</v>
      </c>
      <c r="E107" s="1175">
        <f t="shared" ref="E107:G107" si="58">E104</f>
        <v>46491222.130000003</v>
      </c>
      <c r="F107" s="1175">
        <f t="shared" si="58"/>
        <v>12039953.6</v>
      </c>
      <c r="G107" s="1175">
        <f t="shared" si="58"/>
        <v>0</v>
      </c>
      <c r="H107" s="280">
        <f>IF(F107&gt;E107,1,0)</f>
        <v>0</v>
      </c>
      <c r="I107" s="280">
        <f>IF(G107&lt;0,1,0)</f>
        <v>0</v>
      </c>
    </row>
    <row r="108" spans="1:11" x14ac:dyDescent="0.25">
      <c r="A108" s="188"/>
      <c r="B108" s="467"/>
      <c r="C108" s="184"/>
      <c r="D108" s="277"/>
      <c r="E108" s="182"/>
      <c r="F108" s="182"/>
      <c r="G108" s="276"/>
      <c r="H108" s="280">
        <f t="shared" ref="H108:H115" si="59">IF(F108&gt;E108,1,0)</f>
        <v>0</v>
      </c>
      <c r="I108" s="280">
        <f t="shared" si="44"/>
        <v>0</v>
      </c>
    </row>
    <row r="109" spans="1:11" ht="26.4" x14ac:dyDescent="0.25">
      <c r="A109" s="180" t="s">
        <v>126</v>
      </c>
      <c r="B109" s="247" t="s">
        <v>127</v>
      </c>
      <c r="C109" s="186"/>
      <c r="D109" s="278">
        <f>D113+D125+D143+D152+D155+D122+D116+D134+D128+D140+D146+D137+D119+D149+D131</f>
        <v>317900653.60000002</v>
      </c>
      <c r="E109" s="278">
        <f t="shared" ref="E109:G109" si="60">E113+E125+E143+E152+E155+E122+E116+E134+E128+E140+E146+E137+E119+E149+E131</f>
        <v>300474288.12</v>
      </c>
      <c r="F109" s="278">
        <f t="shared" si="60"/>
        <v>93642407.989999995</v>
      </c>
      <c r="G109" s="278">
        <f t="shared" si="60"/>
        <v>17426365.48</v>
      </c>
      <c r="H109" s="280">
        <f t="shared" si="59"/>
        <v>0</v>
      </c>
      <c r="I109" s="280">
        <f t="shared" si="44"/>
        <v>0</v>
      </c>
    </row>
    <row r="110" spans="1:11" x14ac:dyDescent="0.25">
      <c r="A110" s="370"/>
      <c r="B110" s="371" t="s">
        <v>161</v>
      </c>
      <c r="C110" s="372"/>
      <c r="D110" s="493">
        <f>D114+D126+D144+D153+D156+D123+D117+D135+D129+D141+D147+D138+D120+D150+D132</f>
        <v>106841209.14</v>
      </c>
      <c r="E110" s="493">
        <f t="shared" ref="E110:G110" si="61">E114+E126+E144+E153+E156+E123+E117+E135+E129+E141+E147+E138+E120+E150+E132</f>
        <v>89414843.659999996</v>
      </c>
      <c r="F110" s="493">
        <f t="shared" si="61"/>
        <v>54848674.659999996</v>
      </c>
      <c r="G110" s="493">
        <f t="shared" si="61"/>
        <v>17426365.48</v>
      </c>
      <c r="H110" s="280">
        <f t="shared" si="59"/>
        <v>0</v>
      </c>
      <c r="I110" s="280">
        <f t="shared" si="44"/>
        <v>0</v>
      </c>
    </row>
    <row r="111" spans="1:11" x14ac:dyDescent="0.25">
      <c r="A111" s="370"/>
      <c r="B111" s="371" t="s">
        <v>162</v>
      </c>
      <c r="C111" s="372"/>
      <c r="D111" s="493">
        <f>D115+D127+D145+D154+D157+D124+D118+D136+D130+D142+D148+D139+D121+D151+D133</f>
        <v>211059444.46000001</v>
      </c>
      <c r="E111" s="493">
        <f t="shared" ref="E111:G111" si="62">E115+E127+E145+E154+E157+E124+E118+E136+E130+E142+E148+E139+E121+E151+E133</f>
        <v>211059444.45999998</v>
      </c>
      <c r="F111" s="493">
        <f t="shared" si="62"/>
        <v>38793733.329999998</v>
      </c>
      <c r="G111" s="493">
        <f t="shared" si="62"/>
        <v>0</v>
      </c>
      <c r="H111" s="280">
        <f t="shared" si="59"/>
        <v>0</v>
      </c>
      <c r="I111" s="280">
        <f t="shared" si="44"/>
        <v>0</v>
      </c>
    </row>
    <row r="112" spans="1:11" x14ac:dyDescent="0.25">
      <c r="A112" s="188"/>
      <c r="B112" s="464" t="s">
        <v>45</v>
      </c>
      <c r="C112" s="184"/>
      <c r="D112" s="277"/>
      <c r="E112" s="182"/>
      <c r="F112" s="182"/>
      <c r="G112" s="276"/>
      <c r="H112" s="280">
        <f t="shared" si="59"/>
        <v>0</v>
      </c>
      <c r="I112" s="280">
        <f t="shared" si="44"/>
        <v>0</v>
      </c>
    </row>
    <row r="113" spans="1:10" ht="250.8" x14ac:dyDescent="0.25">
      <c r="A113" s="188"/>
      <c r="B113" s="465" t="s">
        <v>572</v>
      </c>
      <c r="C113" s="246" t="s">
        <v>246</v>
      </c>
      <c r="D113" s="275">
        <f>5000000-2054136.32</f>
        <v>2945863.6799999997</v>
      </c>
      <c r="E113" s="182">
        <f>'Прочая  субсидия_МР  и  ГО'!R38</f>
        <v>2945863.6800000002</v>
      </c>
      <c r="F113" s="182">
        <f>'Прочая  субсидия_МР  и  ГО'!S38</f>
        <v>2945863.6800000002</v>
      </c>
      <c r="G113" s="276">
        <f>D113-E113</f>
        <v>0</v>
      </c>
      <c r="H113" s="280">
        <f t="shared" si="59"/>
        <v>0</v>
      </c>
      <c r="I113" s="280">
        <f t="shared" si="44"/>
        <v>0</v>
      </c>
    </row>
    <row r="114" spans="1:10" x14ac:dyDescent="0.25">
      <c r="A114" s="378"/>
      <c r="B114" s="379" t="s">
        <v>161</v>
      </c>
      <c r="C114" s="380"/>
      <c r="D114" s="382">
        <f>D113</f>
        <v>2945863.6799999997</v>
      </c>
      <c r="E114" s="382">
        <f>E113</f>
        <v>2945863.6800000002</v>
      </c>
      <c r="F114" s="382">
        <f>F113</f>
        <v>2945863.6800000002</v>
      </c>
      <c r="G114" s="382">
        <f>D114-E114</f>
        <v>0</v>
      </c>
      <c r="H114" s="280">
        <f t="shared" si="59"/>
        <v>0</v>
      </c>
      <c r="I114" s="280">
        <f t="shared" si="44"/>
        <v>0</v>
      </c>
    </row>
    <row r="115" spans="1:10" x14ac:dyDescent="0.25">
      <c r="A115" s="378"/>
      <c r="B115" s="379" t="s">
        <v>162</v>
      </c>
      <c r="C115" s="380"/>
      <c r="D115" s="382">
        <f>D113-D114</f>
        <v>0</v>
      </c>
      <c r="E115" s="382">
        <f>E113-E114</f>
        <v>0</v>
      </c>
      <c r="F115" s="382">
        <f>F113-F114</f>
        <v>0</v>
      </c>
      <c r="G115" s="382">
        <f>D115-E115</f>
        <v>0</v>
      </c>
      <c r="H115" s="280">
        <f t="shared" si="59"/>
        <v>0</v>
      </c>
      <c r="I115" s="280">
        <f t="shared" si="44"/>
        <v>0</v>
      </c>
    </row>
    <row r="116" spans="1:10" ht="171.6" x14ac:dyDescent="0.25">
      <c r="A116" s="188"/>
      <c r="B116" s="465" t="s">
        <v>573</v>
      </c>
      <c r="C116" s="246" t="s">
        <v>248</v>
      </c>
      <c r="D116" s="275">
        <v>2500000</v>
      </c>
      <c r="E116" s="182">
        <f>'Прочая  субсидия_МР  и  ГО'!T38</f>
        <v>2339571.8199999998</v>
      </c>
      <c r="F116" s="182">
        <f>'Прочая  субсидия_МР  и  ГО'!U38</f>
        <v>2339571.8199999998</v>
      </c>
      <c r="G116" s="276">
        <f t="shared" ref="G116:G124" si="63">D116-E116</f>
        <v>160428.18000000017</v>
      </c>
      <c r="H116" s="280">
        <f t="shared" ref="H116:H124" si="64">IF(F116&gt;E116,1,0)</f>
        <v>0</v>
      </c>
      <c r="I116" s="280">
        <f t="shared" si="44"/>
        <v>0</v>
      </c>
    </row>
    <row r="117" spans="1:10" x14ac:dyDescent="0.25">
      <c r="A117" s="378"/>
      <c r="B117" s="379" t="s">
        <v>161</v>
      </c>
      <c r="C117" s="380"/>
      <c r="D117" s="382">
        <f>D116</f>
        <v>2500000</v>
      </c>
      <c r="E117" s="382">
        <f>E116</f>
        <v>2339571.8199999998</v>
      </c>
      <c r="F117" s="382">
        <f>F116</f>
        <v>2339571.8199999998</v>
      </c>
      <c r="G117" s="382">
        <f t="shared" si="63"/>
        <v>160428.18000000017</v>
      </c>
      <c r="H117" s="280">
        <f t="shared" si="64"/>
        <v>0</v>
      </c>
      <c r="I117" s="280">
        <f t="shared" si="44"/>
        <v>0</v>
      </c>
    </row>
    <row r="118" spans="1:10" x14ac:dyDescent="0.25">
      <c r="A118" s="378"/>
      <c r="B118" s="379" t="s">
        <v>162</v>
      </c>
      <c r="C118" s="380"/>
      <c r="D118" s="382">
        <f>D116-D117</f>
        <v>0</v>
      </c>
      <c r="E118" s="382">
        <f>E116-E117</f>
        <v>0</v>
      </c>
      <c r="F118" s="382">
        <f>F116-F117</f>
        <v>0</v>
      </c>
      <c r="G118" s="382">
        <f t="shared" si="63"/>
        <v>0</v>
      </c>
      <c r="H118" s="280">
        <f t="shared" si="64"/>
        <v>0</v>
      </c>
      <c r="I118" s="280">
        <f t="shared" si="44"/>
        <v>0</v>
      </c>
    </row>
    <row r="119" spans="1:10" ht="198" x14ac:dyDescent="0.25">
      <c r="A119" s="188"/>
      <c r="B119" s="465" t="s">
        <v>574</v>
      </c>
      <c r="C119" s="246" t="s">
        <v>337</v>
      </c>
      <c r="D119" s="275">
        <f>3200000-659840</f>
        <v>2540160</v>
      </c>
      <c r="E119" s="182">
        <f>'Прочая  субсидия_МР  и  ГО'!V38</f>
        <v>2540160</v>
      </c>
      <c r="F119" s="182">
        <f>'Прочая  субсидия_МР  и  ГО'!W38</f>
        <v>2476980</v>
      </c>
      <c r="G119" s="276">
        <f>D119-E119</f>
        <v>0</v>
      </c>
      <c r="H119" s="280">
        <f>IF(F119&gt;E119,1,0)</f>
        <v>0</v>
      </c>
      <c r="I119" s="280">
        <f>IF(G119&lt;0,1,0)</f>
        <v>0</v>
      </c>
    </row>
    <row r="120" spans="1:10" x14ac:dyDescent="0.25">
      <c r="A120" s="378"/>
      <c r="B120" s="379" t="s">
        <v>161</v>
      </c>
      <c r="C120" s="380"/>
      <c r="D120" s="382">
        <f>D119</f>
        <v>2540160</v>
      </c>
      <c r="E120" s="382">
        <f>E119</f>
        <v>2540160</v>
      </c>
      <c r="F120" s="382">
        <f>F119</f>
        <v>2476980</v>
      </c>
      <c r="G120" s="382">
        <f>D120-E120</f>
        <v>0</v>
      </c>
      <c r="H120" s="280">
        <f>IF(F120&gt;E120,1,0)</f>
        <v>0</v>
      </c>
      <c r="I120" s="280">
        <f>IF(G120&lt;0,1,0)</f>
        <v>0</v>
      </c>
    </row>
    <row r="121" spans="1:10" x14ac:dyDescent="0.25">
      <c r="A121" s="378"/>
      <c r="B121" s="379" t="s">
        <v>162</v>
      </c>
      <c r="C121" s="380"/>
      <c r="D121" s="382">
        <f>D119-D120</f>
        <v>0</v>
      </c>
      <c r="E121" s="382">
        <f>E119-E120</f>
        <v>0</v>
      </c>
      <c r="F121" s="382">
        <f>F119-F120</f>
        <v>0</v>
      </c>
      <c r="G121" s="382">
        <f>D121-E121</f>
        <v>0</v>
      </c>
      <c r="H121" s="280">
        <f>IF(F121&gt;E121,1,0)</f>
        <v>0</v>
      </c>
      <c r="I121" s="280">
        <f>IF(G121&lt;0,1,0)</f>
        <v>0</v>
      </c>
    </row>
    <row r="122" spans="1:10" ht="198" x14ac:dyDescent="0.25">
      <c r="A122" s="258"/>
      <c r="B122" s="466" t="s">
        <v>663</v>
      </c>
      <c r="C122" s="145" t="s">
        <v>664</v>
      </c>
      <c r="D122" s="275">
        <v>40000000</v>
      </c>
      <c r="E122" s="195">
        <f>'Прочая  субсидия_МР  и  ГО'!X38</f>
        <v>35081109</v>
      </c>
      <c r="F122" s="195">
        <f>'Прочая  субсидия_МР  и  ГО'!Y38</f>
        <v>20578120</v>
      </c>
      <c r="G122" s="276">
        <f t="shared" si="63"/>
        <v>4918891</v>
      </c>
      <c r="H122" s="280">
        <f t="shared" si="64"/>
        <v>0</v>
      </c>
      <c r="I122" s="280">
        <f t="shared" si="44"/>
        <v>0</v>
      </c>
    </row>
    <row r="123" spans="1:10" x14ac:dyDescent="0.25">
      <c r="A123" s="378"/>
      <c r="B123" s="379" t="s">
        <v>161</v>
      </c>
      <c r="C123" s="380"/>
      <c r="D123" s="442">
        <f>D122</f>
        <v>40000000</v>
      </c>
      <c r="E123" s="442">
        <f>E122</f>
        <v>35081109</v>
      </c>
      <c r="F123" s="442">
        <f>F122</f>
        <v>20578120</v>
      </c>
      <c r="G123" s="382">
        <f t="shared" si="63"/>
        <v>4918891</v>
      </c>
      <c r="H123" s="280">
        <f t="shared" si="64"/>
        <v>0</v>
      </c>
      <c r="I123" s="280">
        <f t="shared" si="44"/>
        <v>0</v>
      </c>
    </row>
    <row r="124" spans="1:10" x14ac:dyDescent="0.25">
      <c r="A124" s="378"/>
      <c r="B124" s="379" t="s">
        <v>162</v>
      </c>
      <c r="C124" s="380"/>
      <c r="D124" s="382">
        <f>D122-D123</f>
        <v>0</v>
      </c>
      <c r="E124" s="382">
        <f>E122-E123</f>
        <v>0</v>
      </c>
      <c r="F124" s="382">
        <f>F122-F123</f>
        <v>0</v>
      </c>
      <c r="G124" s="382">
        <f t="shared" si="63"/>
        <v>0</v>
      </c>
      <c r="H124" s="280">
        <f t="shared" si="64"/>
        <v>0</v>
      </c>
      <c r="I124" s="280">
        <f t="shared" si="44"/>
        <v>0</v>
      </c>
    </row>
    <row r="125" spans="1:10" ht="198" x14ac:dyDescent="0.25">
      <c r="A125" s="258"/>
      <c r="B125" s="466" t="s">
        <v>280</v>
      </c>
      <c r="C125" s="145" t="s">
        <v>279</v>
      </c>
      <c r="D125" s="275">
        <v>11100000</v>
      </c>
      <c r="E125" s="182">
        <f>'Проверочная  таблица'!KJ37</f>
        <v>11100000</v>
      </c>
      <c r="F125" s="182">
        <f>'Проверочная  таблица'!KP37</f>
        <v>11100000</v>
      </c>
      <c r="G125" s="276">
        <f t="shared" ref="G125:G127" si="65">D125-E125</f>
        <v>0</v>
      </c>
      <c r="H125" s="280">
        <f t="shared" ref="H125:H127" si="66">IF(F125&gt;E125,1,0)</f>
        <v>0</v>
      </c>
      <c r="I125" s="280">
        <f t="shared" si="44"/>
        <v>0</v>
      </c>
    </row>
    <row r="126" spans="1:10" x14ac:dyDescent="0.25">
      <c r="A126" s="378"/>
      <c r="B126" s="379" t="s">
        <v>161</v>
      </c>
      <c r="C126" s="380"/>
      <c r="D126" s="382">
        <f>D125</f>
        <v>11100000</v>
      </c>
      <c r="E126" s="382">
        <f>E125</f>
        <v>11100000</v>
      </c>
      <c r="F126" s="382">
        <f>F125</f>
        <v>11100000</v>
      </c>
      <c r="G126" s="382">
        <f t="shared" si="65"/>
        <v>0</v>
      </c>
      <c r="H126" s="280">
        <f t="shared" si="66"/>
        <v>0</v>
      </c>
      <c r="I126" s="280">
        <f t="shared" si="44"/>
        <v>0</v>
      </c>
    </row>
    <row r="127" spans="1:10" x14ac:dyDescent="0.25">
      <c r="A127" s="378"/>
      <c r="B127" s="379" t="s">
        <v>162</v>
      </c>
      <c r="C127" s="380"/>
      <c r="D127" s="382">
        <f>D125-D126</f>
        <v>0</v>
      </c>
      <c r="E127" s="382">
        <f>E125-E126</f>
        <v>0</v>
      </c>
      <c r="F127" s="382">
        <f>F125-F126</f>
        <v>0</v>
      </c>
      <c r="G127" s="382">
        <f t="shared" si="65"/>
        <v>0</v>
      </c>
      <c r="H127" s="280">
        <f t="shared" si="66"/>
        <v>0</v>
      </c>
      <c r="I127" s="280">
        <f t="shared" si="44"/>
        <v>0</v>
      </c>
    </row>
    <row r="128" spans="1:10" ht="316.8" x14ac:dyDescent="0.25">
      <c r="A128" s="1148"/>
      <c r="B128" s="466" t="s">
        <v>749</v>
      </c>
      <c r="C128" s="145" t="s">
        <v>750</v>
      </c>
      <c r="D128" s="275">
        <v>23434483.34</v>
      </c>
      <c r="E128" s="195">
        <f>'Проверочная  таблица'!KK37</f>
        <v>23434483.34</v>
      </c>
      <c r="F128" s="195">
        <f>'Проверочная  таблица'!KQ37</f>
        <v>10862245.34</v>
      </c>
      <c r="G128" s="276">
        <f t="shared" ref="G128:G142" si="67">D128-E128</f>
        <v>0</v>
      </c>
      <c r="H128" s="280">
        <f t="shared" ref="H128:H142" si="68">IF(F128&gt;E128,1,0)</f>
        <v>0</v>
      </c>
      <c r="I128" s="280">
        <f t="shared" ref="I128:I142" si="69">IF(G128&lt;0,1,0)</f>
        <v>0</v>
      </c>
      <c r="J128" s="820">
        <f>D128+D131</f>
        <v>83694583.340000004</v>
      </c>
    </row>
    <row r="129" spans="1:10" x14ac:dyDescent="0.25">
      <c r="A129" s="378"/>
      <c r="B129" s="379" t="s">
        <v>161</v>
      </c>
      <c r="C129" s="380"/>
      <c r="D129" s="381"/>
      <c r="E129" s="381"/>
      <c r="F129" s="381"/>
      <c r="G129" s="382">
        <f t="shared" si="67"/>
        <v>0</v>
      </c>
      <c r="H129" s="280">
        <f t="shared" si="68"/>
        <v>0</v>
      </c>
      <c r="I129" s="280">
        <f t="shared" si="69"/>
        <v>0</v>
      </c>
    </row>
    <row r="130" spans="1:10" x14ac:dyDescent="0.25">
      <c r="A130" s="378"/>
      <c r="B130" s="379" t="s">
        <v>162</v>
      </c>
      <c r="C130" s="380"/>
      <c r="D130" s="382">
        <f>D128-D129</f>
        <v>23434483.34</v>
      </c>
      <c r="E130" s="382">
        <f>E128-E129</f>
        <v>23434483.34</v>
      </c>
      <c r="F130" s="382">
        <f>F128-F129</f>
        <v>10862245.34</v>
      </c>
      <c r="G130" s="382">
        <f t="shared" si="67"/>
        <v>0</v>
      </c>
      <c r="H130" s="280">
        <f t="shared" si="68"/>
        <v>0</v>
      </c>
      <c r="I130" s="280">
        <f t="shared" si="69"/>
        <v>0</v>
      </c>
    </row>
    <row r="131" spans="1:10" x14ac:dyDescent="0.25">
      <c r="A131" s="1283"/>
      <c r="B131" s="690" t="s">
        <v>66</v>
      </c>
      <c r="C131" s="676" t="s">
        <v>750</v>
      </c>
      <c r="D131" s="691">
        <v>60260100</v>
      </c>
      <c r="E131" s="688">
        <f>'Проверочная  таблица'!KL37</f>
        <v>60260100</v>
      </c>
      <c r="F131" s="688">
        <f>'Проверочная  таблица'!KR37</f>
        <v>27931487.989999998</v>
      </c>
      <c r="G131" s="692">
        <f t="shared" si="67"/>
        <v>0</v>
      </c>
      <c r="H131" s="280">
        <f t="shared" si="68"/>
        <v>0</v>
      </c>
      <c r="I131" s="280">
        <f>IF(G131&lt;0,1,0)</f>
        <v>0</v>
      </c>
    </row>
    <row r="132" spans="1:10" x14ac:dyDescent="0.25">
      <c r="A132" s="1283"/>
      <c r="B132" s="693" t="s">
        <v>161</v>
      </c>
      <c r="C132" s="694"/>
      <c r="D132" s="695"/>
      <c r="E132" s="695"/>
      <c r="F132" s="695"/>
      <c r="G132" s="692">
        <f t="shared" si="67"/>
        <v>0</v>
      </c>
      <c r="H132" s="280">
        <f t="shared" si="68"/>
        <v>0</v>
      </c>
      <c r="I132" s="280">
        <f>IF(G132&lt;0,1,0)</f>
        <v>0</v>
      </c>
    </row>
    <row r="133" spans="1:10" x14ac:dyDescent="0.25">
      <c r="A133" s="1283"/>
      <c r="B133" s="693" t="s">
        <v>162</v>
      </c>
      <c r="C133" s="694"/>
      <c r="D133" s="692">
        <f>D131-D132</f>
        <v>60260100</v>
      </c>
      <c r="E133" s="692">
        <f>E131-E132</f>
        <v>60260100</v>
      </c>
      <c r="F133" s="692">
        <f>F131-F132</f>
        <v>27931487.989999998</v>
      </c>
      <c r="G133" s="692">
        <f t="shared" si="67"/>
        <v>0</v>
      </c>
      <c r="H133" s="280">
        <f t="shared" si="68"/>
        <v>0</v>
      </c>
      <c r="I133" s="280">
        <f>IF(G133&lt;0,1,0)</f>
        <v>0</v>
      </c>
    </row>
    <row r="134" spans="1:10" ht="316.8" hidden="1" x14ac:dyDescent="0.25">
      <c r="A134" s="1158"/>
      <c r="B134" s="466" t="s">
        <v>282</v>
      </c>
      <c r="C134" s="145" t="s">
        <v>281</v>
      </c>
      <c r="D134" s="962"/>
      <c r="E134" s="195">
        <f>'Проверочная  таблица'!KW37</f>
        <v>0</v>
      </c>
      <c r="F134" s="195">
        <f>'Проверочная  таблица'!LA37</f>
        <v>0</v>
      </c>
      <c r="G134" s="276">
        <f t="shared" si="67"/>
        <v>0</v>
      </c>
      <c r="H134" s="280">
        <f t="shared" si="68"/>
        <v>0</v>
      </c>
      <c r="I134" s="280">
        <f t="shared" si="69"/>
        <v>0</v>
      </c>
      <c r="J134" s="820">
        <f>D134+D137</f>
        <v>0</v>
      </c>
    </row>
    <row r="135" spans="1:10" hidden="1" x14ac:dyDescent="0.25">
      <c r="A135" s="378"/>
      <c r="B135" s="379" t="s">
        <v>161</v>
      </c>
      <c r="C135" s="380"/>
      <c r="D135" s="442">
        <f>D134</f>
        <v>0</v>
      </c>
      <c r="E135" s="442">
        <f>E134</f>
        <v>0</v>
      </c>
      <c r="F135" s="442">
        <f>F134</f>
        <v>0</v>
      </c>
      <c r="G135" s="442">
        <f>G134</f>
        <v>0</v>
      </c>
      <c r="H135" s="280">
        <f t="shared" si="68"/>
        <v>0</v>
      </c>
      <c r="I135" s="280">
        <f t="shared" si="69"/>
        <v>0</v>
      </c>
    </row>
    <row r="136" spans="1:10" hidden="1" x14ac:dyDescent="0.25">
      <c r="A136" s="378"/>
      <c r="B136" s="379" t="s">
        <v>162</v>
      </c>
      <c r="C136" s="380"/>
      <c r="D136" s="382">
        <f>D134-D135</f>
        <v>0</v>
      </c>
      <c r="E136" s="382">
        <f>E134-E135</f>
        <v>0</v>
      </c>
      <c r="F136" s="382">
        <f>F134-F135</f>
        <v>0</v>
      </c>
      <c r="G136" s="382">
        <f t="shared" si="67"/>
        <v>0</v>
      </c>
      <c r="H136" s="280">
        <f t="shared" si="68"/>
        <v>0</v>
      </c>
      <c r="I136" s="280">
        <f t="shared" si="69"/>
        <v>0</v>
      </c>
    </row>
    <row r="137" spans="1:10" hidden="1" x14ac:dyDescent="0.25">
      <c r="A137" s="689"/>
      <c r="B137" s="690" t="s">
        <v>66</v>
      </c>
      <c r="C137" s="676" t="s">
        <v>281</v>
      </c>
      <c r="D137" s="691"/>
      <c r="E137" s="688">
        <f>'Проверочная  таблица'!KX37</f>
        <v>0</v>
      </c>
      <c r="F137" s="688">
        <f>'Проверочная  таблица'!LB37</f>
        <v>0</v>
      </c>
      <c r="G137" s="692">
        <f t="shared" si="67"/>
        <v>0</v>
      </c>
      <c r="H137" s="280">
        <f t="shared" si="68"/>
        <v>0</v>
      </c>
      <c r="I137" s="280">
        <f>IF(G137&lt;0,1,0)</f>
        <v>0</v>
      </c>
      <c r="J137" s="824"/>
    </row>
    <row r="138" spans="1:10" hidden="1" x14ac:dyDescent="0.25">
      <c r="A138" s="689"/>
      <c r="B138" s="693" t="s">
        <v>161</v>
      </c>
      <c r="C138" s="694"/>
      <c r="D138" s="688">
        <f>D137</f>
        <v>0</v>
      </c>
      <c r="E138" s="688">
        <f>E137</f>
        <v>0</v>
      </c>
      <c r="F138" s="688">
        <f>F137</f>
        <v>0</v>
      </c>
      <c r="G138" s="688">
        <f>G137</f>
        <v>0</v>
      </c>
      <c r="H138" s="280">
        <f t="shared" si="68"/>
        <v>0</v>
      </c>
      <c r="I138" s="280">
        <f>IF(G138&lt;0,1,0)</f>
        <v>0</v>
      </c>
    </row>
    <row r="139" spans="1:10" hidden="1" x14ac:dyDescent="0.25">
      <c r="A139" s="689"/>
      <c r="B139" s="693" t="s">
        <v>162</v>
      </c>
      <c r="C139" s="694"/>
      <c r="D139" s="692">
        <f>D137-D138</f>
        <v>0</v>
      </c>
      <c r="E139" s="692">
        <f>E137-E138</f>
        <v>0</v>
      </c>
      <c r="F139" s="692">
        <f>F137-F138</f>
        <v>0</v>
      </c>
      <c r="G139" s="692">
        <f>D139-E139</f>
        <v>0</v>
      </c>
      <c r="H139" s="280">
        <f t="shared" si="68"/>
        <v>0</v>
      </c>
      <c r="I139" s="280">
        <f>IF(G139&lt;0,1,0)</f>
        <v>0</v>
      </c>
    </row>
    <row r="140" spans="1:10" ht="250.8" x14ac:dyDescent="0.25">
      <c r="A140" s="258"/>
      <c r="B140" s="466" t="s">
        <v>307</v>
      </c>
      <c r="C140" s="145" t="s">
        <v>306</v>
      </c>
      <c r="D140" s="275">
        <f>4899468.99-11.33</f>
        <v>4899457.66</v>
      </c>
      <c r="E140" s="195">
        <f>'Проверочная  таблица'!KV37</f>
        <v>4899457.66</v>
      </c>
      <c r="F140" s="195">
        <f>'Проверочная  таблица'!KZ37</f>
        <v>4899457.66</v>
      </c>
      <c r="G140" s="276">
        <f t="shared" si="67"/>
        <v>0</v>
      </c>
      <c r="H140" s="280">
        <f t="shared" si="68"/>
        <v>0</v>
      </c>
      <c r="I140" s="280">
        <f t="shared" si="69"/>
        <v>0</v>
      </c>
    </row>
    <row r="141" spans="1:10" x14ac:dyDescent="0.25">
      <c r="A141" s="378"/>
      <c r="B141" s="379" t="s">
        <v>161</v>
      </c>
      <c r="C141" s="380"/>
      <c r="D141" s="442">
        <f>D140</f>
        <v>4899457.66</v>
      </c>
      <c r="E141" s="442">
        <f>E140</f>
        <v>4899457.66</v>
      </c>
      <c r="F141" s="442">
        <f>F140</f>
        <v>4899457.66</v>
      </c>
      <c r="G141" s="442">
        <f>G140</f>
        <v>0</v>
      </c>
      <c r="H141" s="280">
        <f t="shared" si="68"/>
        <v>0</v>
      </c>
      <c r="I141" s="280">
        <f t="shared" si="69"/>
        <v>0</v>
      </c>
    </row>
    <row r="142" spans="1:10" x14ac:dyDescent="0.25">
      <c r="A142" s="378"/>
      <c r="B142" s="379" t="s">
        <v>162</v>
      </c>
      <c r="C142" s="380"/>
      <c r="D142" s="382">
        <f>D140-D141</f>
        <v>0</v>
      </c>
      <c r="E142" s="382">
        <f>E140-E141</f>
        <v>0</v>
      </c>
      <c r="F142" s="382">
        <f>F140-F141</f>
        <v>0</v>
      </c>
      <c r="G142" s="382">
        <f t="shared" si="67"/>
        <v>0</v>
      </c>
      <c r="H142" s="280">
        <f t="shared" si="68"/>
        <v>0</v>
      </c>
      <c r="I142" s="280">
        <f t="shared" si="69"/>
        <v>0</v>
      </c>
    </row>
    <row r="143" spans="1:10" ht="316.8" x14ac:dyDescent="0.25">
      <c r="A143" s="258"/>
      <c r="B143" s="466" t="s">
        <v>660</v>
      </c>
      <c r="C143" s="145" t="s">
        <v>661</v>
      </c>
      <c r="D143" s="275">
        <f>35662143.38+17.74</f>
        <v>35662161.120000005</v>
      </c>
      <c r="E143" s="195">
        <f>'Проверочная  таблица'!KM37</f>
        <v>35662161.119999997</v>
      </c>
      <c r="F143" s="195">
        <f>'Проверочная  таблица'!KS37</f>
        <v>0</v>
      </c>
      <c r="G143" s="276">
        <f t="shared" ref="G143:G148" si="70">D143-E143</f>
        <v>0</v>
      </c>
      <c r="H143" s="280">
        <f t="shared" ref="H143:H148" si="71">IF(F143&gt;E143,1,0)</f>
        <v>0</v>
      </c>
      <c r="I143" s="280">
        <f t="shared" ref="I143:I148" si="72">IF(G143&lt;0,1,0)</f>
        <v>0</v>
      </c>
      <c r="J143" s="820">
        <f>D143+D146</f>
        <v>127364861.12</v>
      </c>
    </row>
    <row r="144" spans="1:10" x14ac:dyDescent="0.25">
      <c r="A144" s="378"/>
      <c r="B144" s="379" t="s">
        <v>161</v>
      </c>
      <c r="C144" s="380"/>
      <c r="D144" s="381">
        <v>0</v>
      </c>
      <c r="E144" s="381">
        <v>0</v>
      </c>
      <c r="F144" s="381">
        <v>0</v>
      </c>
      <c r="G144" s="382">
        <f t="shared" si="70"/>
        <v>0</v>
      </c>
      <c r="H144" s="280">
        <f t="shared" si="71"/>
        <v>0</v>
      </c>
      <c r="I144" s="280">
        <f t="shared" si="72"/>
        <v>0</v>
      </c>
    </row>
    <row r="145" spans="1:10" x14ac:dyDescent="0.25">
      <c r="A145" s="378"/>
      <c r="B145" s="379" t="s">
        <v>162</v>
      </c>
      <c r="C145" s="380"/>
      <c r="D145" s="382">
        <f>D143-D144</f>
        <v>35662161.120000005</v>
      </c>
      <c r="E145" s="382">
        <f>E143-E144</f>
        <v>35662161.119999997</v>
      </c>
      <c r="F145" s="382">
        <f>F143-F144</f>
        <v>0</v>
      </c>
      <c r="G145" s="382">
        <f t="shared" si="70"/>
        <v>0</v>
      </c>
      <c r="H145" s="280">
        <f t="shared" si="71"/>
        <v>0</v>
      </c>
      <c r="I145" s="280">
        <f t="shared" si="72"/>
        <v>0</v>
      </c>
    </row>
    <row r="146" spans="1:10" x14ac:dyDescent="0.25">
      <c r="A146" s="689"/>
      <c r="B146" s="690" t="s">
        <v>66</v>
      </c>
      <c r="C146" s="676" t="s">
        <v>661</v>
      </c>
      <c r="D146" s="691">
        <v>91702700</v>
      </c>
      <c r="E146" s="688">
        <f>'Проверочная  таблица'!KN37</f>
        <v>91702700</v>
      </c>
      <c r="F146" s="688">
        <f>'Проверочная  таблица'!KT37</f>
        <v>0</v>
      </c>
      <c r="G146" s="692">
        <f t="shared" si="70"/>
        <v>0</v>
      </c>
      <c r="H146" s="280">
        <f t="shared" si="71"/>
        <v>0</v>
      </c>
      <c r="I146" s="280">
        <f t="shared" si="72"/>
        <v>0</v>
      </c>
    </row>
    <row r="147" spans="1:10" x14ac:dyDescent="0.25">
      <c r="A147" s="689"/>
      <c r="B147" s="693" t="s">
        <v>161</v>
      </c>
      <c r="C147" s="694"/>
      <c r="D147" s="695">
        <v>0</v>
      </c>
      <c r="E147" s="695">
        <v>0</v>
      </c>
      <c r="F147" s="695">
        <v>0</v>
      </c>
      <c r="G147" s="692">
        <f t="shared" si="70"/>
        <v>0</v>
      </c>
      <c r="H147" s="280">
        <f t="shared" si="71"/>
        <v>0</v>
      </c>
      <c r="I147" s="280">
        <f t="shared" si="72"/>
        <v>0</v>
      </c>
    </row>
    <row r="148" spans="1:10" x14ac:dyDescent="0.25">
      <c r="A148" s="689"/>
      <c r="B148" s="693" t="s">
        <v>162</v>
      </c>
      <c r="C148" s="694"/>
      <c r="D148" s="692">
        <f>D146-D147</f>
        <v>91702700</v>
      </c>
      <c r="E148" s="692">
        <f>E146-E147</f>
        <v>91702700</v>
      </c>
      <c r="F148" s="692">
        <f>F146-F147</f>
        <v>0</v>
      </c>
      <c r="G148" s="692">
        <f t="shared" si="70"/>
        <v>0</v>
      </c>
      <c r="H148" s="280">
        <f t="shared" si="71"/>
        <v>0</v>
      </c>
      <c r="I148" s="280">
        <f t="shared" si="72"/>
        <v>0</v>
      </c>
      <c r="J148" s="824"/>
    </row>
    <row r="149" spans="1:10" ht="145.19999999999999" x14ac:dyDescent="0.25">
      <c r="A149" s="258"/>
      <c r="B149" s="466" t="s">
        <v>393</v>
      </c>
      <c r="C149" s="145" t="s">
        <v>392</v>
      </c>
      <c r="D149" s="275">
        <v>20000000</v>
      </c>
      <c r="E149" s="195">
        <f>'Прочая  субсидия_МР  и  ГО'!AJ38</f>
        <v>20000000</v>
      </c>
      <c r="F149" s="195">
        <f>'Прочая  субсидия_МР  и  ГО'!AK38</f>
        <v>0</v>
      </c>
      <c r="G149" s="276">
        <f t="shared" ref="G149" si="73">D149-E149</f>
        <v>0</v>
      </c>
      <c r="H149" s="280">
        <f t="shared" ref="H149:H151" si="74">IF(F149&gt;E149,1,0)</f>
        <v>0</v>
      </c>
      <c r="I149" s="280">
        <f t="shared" ref="I149:I151" si="75">IF(G149&lt;0,1,0)</f>
        <v>0</v>
      </c>
    </row>
    <row r="150" spans="1:10" x14ac:dyDescent="0.25">
      <c r="A150" s="378"/>
      <c r="B150" s="379" t="s">
        <v>161</v>
      </c>
      <c r="C150" s="380"/>
      <c r="D150" s="442">
        <f>D149</f>
        <v>20000000</v>
      </c>
      <c r="E150" s="442">
        <f>E149</f>
        <v>20000000</v>
      </c>
      <c r="F150" s="442">
        <f>F149</f>
        <v>0</v>
      </c>
      <c r="G150" s="442">
        <f>G149</f>
        <v>0</v>
      </c>
      <c r="H150" s="280">
        <f t="shared" si="74"/>
        <v>0</v>
      </c>
      <c r="I150" s="280">
        <f t="shared" si="75"/>
        <v>0</v>
      </c>
    </row>
    <row r="151" spans="1:10" x14ac:dyDescent="0.25">
      <c r="A151" s="378"/>
      <c r="B151" s="379" t="s">
        <v>162</v>
      </c>
      <c r="C151" s="380"/>
      <c r="D151" s="382">
        <f>D149-D150</f>
        <v>0</v>
      </c>
      <c r="E151" s="382">
        <f>E149-E150</f>
        <v>0</v>
      </c>
      <c r="F151" s="382">
        <f>F149-F150</f>
        <v>0</v>
      </c>
      <c r="G151" s="382">
        <f t="shared" ref="G151" si="76">D151-E151</f>
        <v>0</v>
      </c>
      <c r="H151" s="280">
        <f t="shared" si="74"/>
        <v>0</v>
      </c>
      <c r="I151" s="280">
        <f t="shared" si="75"/>
        <v>0</v>
      </c>
    </row>
    <row r="152" spans="1:10" ht="211.2" x14ac:dyDescent="0.25">
      <c r="A152" s="188"/>
      <c r="B152" s="465" t="s">
        <v>564</v>
      </c>
      <c r="C152" s="145" t="s">
        <v>222</v>
      </c>
      <c r="D152" s="275">
        <f>4041700+1814027.8</f>
        <v>5855727.7999999998</v>
      </c>
      <c r="E152" s="182">
        <f>'Прочая  субсидия_МР  и  ГО'!AL38</f>
        <v>3082684.46</v>
      </c>
      <c r="F152" s="182">
        <f>'Прочая  субсидия_МР  и  ГО'!AM38</f>
        <v>3082684.46</v>
      </c>
      <c r="G152" s="276">
        <f t="shared" ref="G152:G157" si="77">D152-E152</f>
        <v>2773043.34</v>
      </c>
      <c r="H152" s="280">
        <f t="shared" ref="H152:H168" si="78">IF(F152&gt;E152,1,0)</f>
        <v>0</v>
      </c>
      <c r="I152" s="280">
        <f t="shared" si="44"/>
        <v>0</v>
      </c>
    </row>
    <row r="153" spans="1:10" x14ac:dyDescent="0.25">
      <c r="A153" s="378"/>
      <c r="B153" s="379" t="s">
        <v>161</v>
      </c>
      <c r="C153" s="380"/>
      <c r="D153" s="382">
        <f>D152</f>
        <v>5855727.7999999998</v>
      </c>
      <c r="E153" s="382">
        <f>E152</f>
        <v>3082684.46</v>
      </c>
      <c r="F153" s="382">
        <f>F152</f>
        <v>3082684.46</v>
      </c>
      <c r="G153" s="382">
        <f t="shared" si="77"/>
        <v>2773043.34</v>
      </c>
      <c r="H153" s="280">
        <f t="shared" si="78"/>
        <v>0</v>
      </c>
      <c r="I153" s="280">
        <f t="shared" si="44"/>
        <v>0</v>
      </c>
    </row>
    <row r="154" spans="1:10" x14ac:dyDescent="0.25">
      <c r="A154" s="378"/>
      <c r="B154" s="379" t="s">
        <v>162</v>
      </c>
      <c r="C154" s="380"/>
      <c r="D154" s="382">
        <f>D152-D153</f>
        <v>0</v>
      </c>
      <c r="E154" s="382">
        <f>E152-E153</f>
        <v>0</v>
      </c>
      <c r="F154" s="382">
        <f>F152-F153</f>
        <v>0</v>
      </c>
      <c r="G154" s="382">
        <f t="shared" si="77"/>
        <v>0</v>
      </c>
      <c r="H154" s="280">
        <f t="shared" si="78"/>
        <v>0</v>
      </c>
      <c r="I154" s="280">
        <f t="shared" si="44"/>
        <v>0</v>
      </c>
    </row>
    <row r="155" spans="1:10" ht="158.4" x14ac:dyDescent="0.25">
      <c r="A155" s="188"/>
      <c r="B155" s="465" t="s">
        <v>560</v>
      </c>
      <c r="C155" s="145" t="s">
        <v>223</v>
      </c>
      <c r="D155" s="275">
        <v>17000000</v>
      </c>
      <c r="E155" s="182">
        <f>'Прочая  субсидия_МР  и  ГО'!AN38</f>
        <v>7425997.04</v>
      </c>
      <c r="F155" s="182">
        <f>'Прочая  субсидия_МР  и  ГО'!AO38</f>
        <v>7425997.04</v>
      </c>
      <c r="G155" s="276">
        <f t="shared" si="77"/>
        <v>9574002.9600000009</v>
      </c>
      <c r="H155" s="280">
        <f t="shared" si="78"/>
        <v>0</v>
      </c>
      <c r="I155" s="280">
        <f t="shared" si="44"/>
        <v>0</v>
      </c>
    </row>
    <row r="156" spans="1:10" x14ac:dyDescent="0.25">
      <c r="A156" s="378"/>
      <c r="B156" s="379" t="s">
        <v>161</v>
      </c>
      <c r="C156" s="380"/>
      <c r="D156" s="382">
        <f>D155</f>
        <v>17000000</v>
      </c>
      <c r="E156" s="382">
        <f>E155</f>
        <v>7425997.04</v>
      </c>
      <c r="F156" s="382">
        <f>F155</f>
        <v>7425997.04</v>
      </c>
      <c r="G156" s="382">
        <f t="shared" si="77"/>
        <v>9574002.9600000009</v>
      </c>
      <c r="H156" s="280">
        <f t="shared" si="78"/>
        <v>0</v>
      </c>
      <c r="I156" s="280">
        <f t="shared" si="44"/>
        <v>0</v>
      </c>
    </row>
    <row r="157" spans="1:10" x14ac:dyDescent="0.25">
      <c r="A157" s="378"/>
      <c r="B157" s="379" t="s">
        <v>162</v>
      </c>
      <c r="C157" s="380"/>
      <c r="D157" s="382">
        <f>D155-D156</f>
        <v>0</v>
      </c>
      <c r="E157" s="382">
        <f>E155-E156</f>
        <v>0</v>
      </c>
      <c r="F157" s="382">
        <f>F155-F156</f>
        <v>0</v>
      </c>
      <c r="G157" s="382">
        <f t="shared" si="77"/>
        <v>0</v>
      </c>
      <c r="H157" s="280">
        <f t="shared" si="78"/>
        <v>0</v>
      </c>
      <c r="I157" s="280">
        <f t="shared" si="44"/>
        <v>0</v>
      </c>
    </row>
    <row r="158" spans="1:10" x14ac:dyDescent="0.25">
      <c r="A158" s="188"/>
      <c r="B158" s="467"/>
      <c r="C158" s="184"/>
      <c r="D158" s="277"/>
      <c r="E158" s="182"/>
      <c r="F158" s="182"/>
      <c r="G158" s="276"/>
      <c r="H158" s="280">
        <f t="shared" si="78"/>
        <v>0</v>
      </c>
      <c r="I158" s="280">
        <f t="shared" si="44"/>
        <v>0</v>
      </c>
    </row>
    <row r="159" spans="1:10" x14ac:dyDescent="0.25">
      <c r="A159" s="180" t="s">
        <v>140</v>
      </c>
      <c r="B159" s="247" t="s">
        <v>69</v>
      </c>
      <c r="C159" s="186"/>
      <c r="D159" s="278">
        <f>D163+D166+D169</f>
        <v>343266182.19999999</v>
      </c>
      <c r="E159" s="278">
        <f t="shared" ref="E159:G159" si="79">E163+E166+E169</f>
        <v>343266182.20000005</v>
      </c>
      <c r="F159" s="278">
        <f t="shared" si="79"/>
        <v>121293726.81999999</v>
      </c>
      <c r="G159" s="278">
        <f t="shared" si="79"/>
        <v>0</v>
      </c>
      <c r="H159" s="280">
        <f t="shared" si="78"/>
        <v>0</v>
      </c>
      <c r="I159" s="280">
        <f t="shared" si="44"/>
        <v>0</v>
      </c>
    </row>
    <row r="160" spans="1:10" x14ac:dyDescent="0.25">
      <c r="A160" s="370"/>
      <c r="B160" s="371" t="s">
        <v>161</v>
      </c>
      <c r="C160" s="372"/>
      <c r="D160" s="493">
        <f t="shared" ref="D160:G161" si="80">D164+D167+D170</f>
        <v>0</v>
      </c>
      <c r="E160" s="493">
        <f t="shared" si="80"/>
        <v>0</v>
      </c>
      <c r="F160" s="493">
        <f t="shared" si="80"/>
        <v>0</v>
      </c>
      <c r="G160" s="493">
        <f t="shared" si="80"/>
        <v>0</v>
      </c>
      <c r="H160" s="280">
        <f t="shared" si="78"/>
        <v>0</v>
      </c>
      <c r="I160" s="280">
        <f t="shared" si="44"/>
        <v>0</v>
      </c>
    </row>
    <row r="161" spans="1:10" x14ac:dyDescent="0.25">
      <c r="A161" s="370"/>
      <c r="B161" s="371" t="s">
        <v>162</v>
      </c>
      <c r="C161" s="372"/>
      <c r="D161" s="493">
        <f t="shared" si="80"/>
        <v>343266182.19999999</v>
      </c>
      <c r="E161" s="493">
        <f t="shared" si="80"/>
        <v>343266182.20000005</v>
      </c>
      <c r="F161" s="493">
        <f t="shared" si="80"/>
        <v>121293726.81999999</v>
      </c>
      <c r="G161" s="493">
        <f t="shared" si="80"/>
        <v>0</v>
      </c>
      <c r="H161" s="280">
        <f t="shared" si="78"/>
        <v>0</v>
      </c>
      <c r="I161" s="280">
        <f t="shared" si="44"/>
        <v>0</v>
      </c>
    </row>
    <row r="162" spans="1:10" x14ac:dyDescent="0.25">
      <c r="A162" s="188"/>
      <c r="B162" s="464" t="s">
        <v>45</v>
      </c>
      <c r="C162" s="184"/>
      <c r="D162" s="277"/>
      <c r="E162" s="182"/>
      <c r="F162" s="182"/>
      <c r="G162" s="276"/>
      <c r="H162" s="280">
        <f t="shared" si="78"/>
        <v>0</v>
      </c>
      <c r="I162" s="280">
        <f t="shared" si="44"/>
        <v>0</v>
      </c>
    </row>
    <row r="163" spans="1:10" ht="264" x14ac:dyDescent="0.25">
      <c r="A163" s="1148"/>
      <c r="B163" s="463" t="s">
        <v>743</v>
      </c>
      <c r="C163" s="145" t="s">
        <v>742</v>
      </c>
      <c r="D163" s="197">
        <v>326102873.08999997</v>
      </c>
      <c r="E163" s="182">
        <f>'Проверочная  таблица'!DE38</f>
        <v>326102873.09000003</v>
      </c>
      <c r="F163" s="195">
        <f>'Проверочная  таблица'!DF38</f>
        <v>115229040.47</v>
      </c>
      <c r="G163" s="276">
        <f t="shared" ref="G163:G168" si="81">D163-E163</f>
        <v>0</v>
      </c>
      <c r="H163" s="280">
        <f t="shared" si="78"/>
        <v>0</v>
      </c>
      <c r="I163" s="280">
        <f t="shared" si="44"/>
        <v>0</v>
      </c>
    </row>
    <row r="164" spans="1:10" x14ac:dyDescent="0.25">
      <c r="A164" s="378"/>
      <c r="B164" s="379" t="s">
        <v>161</v>
      </c>
      <c r="C164" s="380"/>
      <c r="D164" s="381">
        <v>0</v>
      </c>
      <c r="E164" s="381">
        <v>0</v>
      </c>
      <c r="F164" s="381">
        <v>0</v>
      </c>
      <c r="G164" s="382">
        <f t="shared" si="81"/>
        <v>0</v>
      </c>
      <c r="H164" s="280">
        <f t="shared" si="78"/>
        <v>0</v>
      </c>
      <c r="I164" s="280">
        <f t="shared" si="44"/>
        <v>0</v>
      </c>
    </row>
    <row r="165" spans="1:10" x14ac:dyDescent="0.25">
      <c r="A165" s="378"/>
      <c r="B165" s="379" t="s">
        <v>162</v>
      </c>
      <c r="C165" s="380"/>
      <c r="D165" s="382">
        <f>D163-D164</f>
        <v>326102873.08999997</v>
      </c>
      <c r="E165" s="382">
        <f>E163-E164</f>
        <v>326102873.09000003</v>
      </c>
      <c r="F165" s="382">
        <f>F163-F164</f>
        <v>115229040.47</v>
      </c>
      <c r="G165" s="382">
        <f t="shared" si="81"/>
        <v>0</v>
      </c>
      <c r="H165" s="280">
        <f t="shared" si="78"/>
        <v>0</v>
      </c>
      <c r="I165" s="280">
        <f t="shared" si="44"/>
        <v>0</v>
      </c>
    </row>
    <row r="166" spans="1:10" ht="237.6" x14ac:dyDescent="0.25">
      <c r="A166" s="258"/>
      <c r="B166" s="470" t="s">
        <v>571</v>
      </c>
      <c r="C166" s="145" t="s">
        <v>569</v>
      </c>
      <c r="D166" s="197">
        <v>17163309.109999999</v>
      </c>
      <c r="E166" s="182">
        <f>'Проверочная  таблица'!DM38</f>
        <v>17163309.109999999</v>
      </c>
      <c r="F166" s="195">
        <f>'Проверочная  таблица'!DN38</f>
        <v>6064686.3499999996</v>
      </c>
      <c r="G166" s="276">
        <f t="shared" si="81"/>
        <v>0</v>
      </c>
      <c r="H166" s="280">
        <f t="shared" si="78"/>
        <v>0</v>
      </c>
      <c r="I166" s="280">
        <f t="shared" si="44"/>
        <v>0</v>
      </c>
    </row>
    <row r="167" spans="1:10" x14ac:dyDescent="0.25">
      <c r="A167" s="378"/>
      <c r="B167" s="379" t="s">
        <v>161</v>
      </c>
      <c r="C167" s="380"/>
      <c r="D167" s="381">
        <v>0</v>
      </c>
      <c r="E167" s="381">
        <v>0</v>
      </c>
      <c r="F167" s="381">
        <v>0</v>
      </c>
      <c r="G167" s="382">
        <f t="shared" si="81"/>
        <v>0</v>
      </c>
      <c r="H167" s="280">
        <f t="shared" si="78"/>
        <v>0</v>
      </c>
      <c r="I167" s="280">
        <f t="shared" si="44"/>
        <v>0</v>
      </c>
    </row>
    <row r="168" spans="1:10" x14ac:dyDescent="0.25">
      <c r="A168" s="378"/>
      <c r="B168" s="379" t="s">
        <v>162</v>
      </c>
      <c r="C168" s="380"/>
      <c r="D168" s="382">
        <f>D166-D167</f>
        <v>17163309.109999999</v>
      </c>
      <c r="E168" s="382">
        <f>E166-E167</f>
        <v>17163309.109999999</v>
      </c>
      <c r="F168" s="382">
        <f>F166-F167</f>
        <v>6064686.3499999996</v>
      </c>
      <c r="G168" s="382">
        <f t="shared" si="81"/>
        <v>0</v>
      </c>
      <c r="H168" s="280">
        <f t="shared" si="78"/>
        <v>0</v>
      </c>
      <c r="I168" s="280">
        <f t="shared" si="44"/>
        <v>0</v>
      </c>
    </row>
    <row r="169" spans="1:10" ht="250.8" x14ac:dyDescent="0.25">
      <c r="A169" s="258"/>
      <c r="B169" s="470" t="s">
        <v>632</v>
      </c>
      <c r="C169" s="145" t="s">
        <v>631</v>
      </c>
      <c r="D169" s="197"/>
      <c r="E169" s="182">
        <f>'Прочая  субсидия_МР  и  ГО'!AB38</f>
        <v>0</v>
      </c>
      <c r="F169" s="182">
        <f>'Прочая  субсидия_МР  и  ГО'!AC38</f>
        <v>0</v>
      </c>
      <c r="G169" s="276">
        <f t="shared" ref="G169:G171" si="82">D169-E169</f>
        <v>0</v>
      </c>
      <c r="H169" s="280">
        <f t="shared" ref="H169:H171" si="83">IF(F169&gt;E169,1,0)</f>
        <v>0</v>
      </c>
      <c r="I169" s="280">
        <f t="shared" ref="I169:I171" si="84">IF(G169&lt;0,1,0)</f>
        <v>0</v>
      </c>
    </row>
    <row r="170" spans="1:10" x14ac:dyDescent="0.25">
      <c r="A170" s="378"/>
      <c r="B170" s="379" t="s">
        <v>161</v>
      </c>
      <c r="C170" s="380"/>
      <c r="D170" s="381">
        <v>0</v>
      </c>
      <c r="E170" s="381">
        <v>0</v>
      </c>
      <c r="F170" s="381">
        <v>0</v>
      </c>
      <c r="G170" s="382">
        <f t="shared" si="82"/>
        <v>0</v>
      </c>
      <c r="H170" s="280">
        <f t="shared" si="83"/>
        <v>0</v>
      </c>
      <c r="I170" s="280">
        <f t="shared" si="84"/>
        <v>0</v>
      </c>
    </row>
    <row r="171" spans="1:10" x14ac:dyDescent="0.25">
      <c r="A171" s="378"/>
      <c r="B171" s="379" t="s">
        <v>162</v>
      </c>
      <c r="C171" s="380"/>
      <c r="D171" s="382">
        <f>D169-D170</f>
        <v>0</v>
      </c>
      <c r="E171" s="382">
        <f>E169-E170</f>
        <v>0</v>
      </c>
      <c r="F171" s="382">
        <f>F169-F170</f>
        <v>0</v>
      </c>
      <c r="G171" s="382">
        <f t="shared" si="82"/>
        <v>0</v>
      </c>
      <c r="H171" s="280">
        <f t="shared" si="83"/>
        <v>0</v>
      </c>
      <c r="I171" s="280">
        <f t="shared" si="84"/>
        <v>0</v>
      </c>
    </row>
    <row r="172" spans="1:10" s="837" customFormat="1" x14ac:dyDescent="0.25">
      <c r="A172" s="245"/>
      <c r="B172" s="362"/>
      <c r="C172" s="262"/>
      <c r="D172" s="471"/>
      <c r="E172" s="471"/>
      <c r="F172" s="471"/>
      <c r="G172" s="471"/>
      <c r="H172" s="472"/>
      <c r="I172" s="280">
        <f t="shared" si="44"/>
        <v>0</v>
      </c>
      <c r="J172" s="823"/>
    </row>
    <row r="173" spans="1:10" x14ac:dyDescent="0.25">
      <c r="A173" s="180" t="s">
        <v>266</v>
      </c>
      <c r="B173" s="247" t="s">
        <v>267</v>
      </c>
      <c r="C173" s="186"/>
      <c r="D173" s="278">
        <f>D187+D190+D193+D178+D196+D181+D184</f>
        <v>348960125.10000002</v>
      </c>
      <c r="E173" s="278">
        <f t="shared" ref="E173:G173" si="85">E187+E190+E193+E178+E196+E181+E184</f>
        <v>110937659.34</v>
      </c>
      <c r="F173" s="278">
        <f t="shared" si="85"/>
        <v>99117335.280000001</v>
      </c>
      <c r="G173" s="278">
        <f t="shared" si="85"/>
        <v>238022465.75999999</v>
      </c>
      <c r="H173" s="280">
        <f t="shared" ref="H173:H186" si="86">IF(F173&gt;E173,1,0)</f>
        <v>0</v>
      </c>
      <c r="I173" s="280">
        <f t="shared" si="44"/>
        <v>0</v>
      </c>
    </row>
    <row r="174" spans="1:10" x14ac:dyDescent="0.25">
      <c r="A174" s="370"/>
      <c r="B174" s="371" t="s">
        <v>161</v>
      </c>
      <c r="C174" s="372"/>
      <c r="D174" s="493">
        <f>D188+D191+D194+D179+D197+D182+D185</f>
        <v>0</v>
      </c>
      <c r="E174" s="493">
        <f t="shared" ref="E174:G174" si="87">E188+E191+E194+E179+E197+E182+E185</f>
        <v>0</v>
      </c>
      <c r="F174" s="493">
        <f t="shared" si="87"/>
        <v>0</v>
      </c>
      <c r="G174" s="493">
        <f t="shared" si="87"/>
        <v>0</v>
      </c>
      <c r="H174" s="280">
        <f t="shared" si="86"/>
        <v>0</v>
      </c>
      <c r="I174" s="280">
        <f t="shared" si="44"/>
        <v>0</v>
      </c>
    </row>
    <row r="175" spans="1:10" x14ac:dyDescent="0.25">
      <c r="A175" s="370"/>
      <c r="B175" s="371" t="s">
        <v>162</v>
      </c>
      <c r="C175" s="372"/>
      <c r="D175" s="493">
        <f>D189+D192+D195+D180+D198+D183+D186</f>
        <v>227023900</v>
      </c>
      <c r="E175" s="493">
        <f t="shared" ref="E175:G175" si="88">E189+E192+E195+E180+E198+E183+E186</f>
        <v>10943659.34</v>
      </c>
      <c r="F175" s="493">
        <f t="shared" si="88"/>
        <v>4466987.4399999995</v>
      </c>
      <c r="G175" s="493">
        <f t="shared" si="88"/>
        <v>216080240.66</v>
      </c>
      <c r="H175" s="280">
        <f t="shared" si="86"/>
        <v>0</v>
      </c>
      <c r="I175" s="280">
        <f t="shared" si="44"/>
        <v>0</v>
      </c>
    </row>
    <row r="176" spans="1:10" x14ac:dyDescent="0.25">
      <c r="A176" s="370"/>
      <c r="B176" s="371" t="s">
        <v>402</v>
      </c>
      <c r="C176" s="372"/>
      <c r="D176" s="493">
        <f>D173-D174-D175</f>
        <v>121936225.10000002</v>
      </c>
      <c r="E176" s="493">
        <f t="shared" ref="E176:G176" si="89">E173-E174-E175</f>
        <v>99994000</v>
      </c>
      <c r="F176" s="493">
        <f t="shared" si="89"/>
        <v>94650347.840000004</v>
      </c>
      <c r="G176" s="493">
        <f t="shared" si="89"/>
        <v>21942225.099999994</v>
      </c>
      <c r="H176" s="280">
        <f t="shared" ref="H176" si="90">IF(F176&gt;E176,1,0)</f>
        <v>0</v>
      </c>
      <c r="I176" s="280">
        <f t="shared" ref="I176" si="91">IF(G176&lt;0,1,0)</f>
        <v>0</v>
      </c>
    </row>
    <row r="177" spans="1:10" x14ac:dyDescent="0.25">
      <c r="A177" s="188"/>
      <c r="B177" s="464" t="s">
        <v>45</v>
      </c>
      <c r="C177" s="184"/>
      <c r="D177" s="277"/>
      <c r="E177" s="182"/>
      <c r="F177" s="182"/>
      <c r="G177" s="276"/>
      <c r="H177" s="280">
        <f t="shared" si="86"/>
        <v>0</v>
      </c>
      <c r="I177" s="280">
        <f t="shared" ref="I177:I303" si="92">IF(G177&lt;0,1,0)</f>
        <v>0</v>
      </c>
    </row>
    <row r="178" spans="1:10" ht="158.4" x14ac:dyDescent="0.25">
      <c r="A178" s="245"/>
      <c r="B178" s="465" t="s">
        <v>400</v>
      </c>
      <c r="C178" s="145" t="s">
        <v>397</v>
      </c>
      <c r="D178" s="275">
        <f>15600000+34400000-47691161.11</f>
        <v>2308838.8900000006</v>
      </c>
      <c r="E178" s="195">
        <f>'Проверочная  таблица'!AN37</f>
        <v>0</v>
      </c>
      <c r="F178" s="195">
        <f>'Проверочная  таблица'!AT37</f>
        <v>0</v>
      </c>
      <c r="G178" s="276">
        <f t="shared" ref="G178:G186" si="93">D178-E178</f>
        <v>2308838.8900000006</v>
      </c>
      <c r="H178" s="280">
        <f t="shared" si="86"/>
        <v>0</v>
      </c>
      <c r="I178" s="280">
        <f t="shared" ref="I178:I186" si="94">IF(G178&lt;0,1,0)</f>
        <v>0</v>
      </c>
      <c r="J178" s="820">
        <f>D178+D187</f>
        <v>5487305.5600000005</v>
      </c>
    </row>
    <row r="179" spans="1:10" x14ac:dyDescent="0.25">
      <c r="A179" s="378"/>
      <c r="B179" s="379" t="s">
        <v>161</v>
      </c>
      <c r="C179" s="380"/>
      <c r="D179" s="382"/>
      <c r="E179" s="382"/>
      <c r="F179" s="382"/>
      <c r="G179" s="382">
        <f t="shared" si="93"/>
        <v>0</v>
      </c>
      <c r="H179" s="280">
        <f t="shared" si="86"/>
        <v>0</v>
      </c>
      <c r="I179" s="280">
        <f t="shared" si="94"/>
        <v>0</v>
      </c>
    </row>
    <row r="180" spans="1:10" x14ac:dyDescent="0.25">
      <c r="A180" s="378"/>
      <c r="B180" s="379" t="s">
        <v>162</v>
      </c>
      <c r="C180" s="380"/>
      <c r="D180" s="382">
        <f>D178-D179</f>
        <v>2308838.8900000006</v>
      </c>
      <c r="E180" s="382">
        <f>E178-E179</f>
        <v>0</v>
      </c>
      <c r="F180" s="382">
        <f>F178-F179</f>
        <v>0</v>
      </c>
      <c r="G180" s="382">
        <f t="shared" si="93"/>
        <v>2308838.8900000006</v>
      </c>
      <c r="H180" s="280">
        <f t="shared" si="86"/>
        <v>0</v>
      </c>
      <c r="I180" s="280">
        <f t="shared" si="94"/>
        <v>0</v>
      </c>
    </row>
    <row r="181" spans="1:10" ht="250.8" x14ac:dyDescent="0.25">
      <c r="A181" s="245"/>
      <c r="B181" s="465" t="s">
        <v>851</v>
      </c>
      <c r="C181" s="145" t="s">
        <v>850</v>
      </c>
      <c r="D181" s="275">
        <v>47691161.109999999</v>
      </c>
      <c r="E181" s="195">
        <f>'Проверочная  таблица'!EZ38</f>
        <v>0</v>
      </c>
      <c r="F181" s="195">
        <f>'Проверочная  таблица'!FC38</f>
        <v>0</v>
      </c>
      <c r="G181" s="276">
        <f t="shared" si="93"/>
        <v>47691161.109999999</v>
      </c>
      <c r="H181" s="280">
        <f t="shared" si="86"/>
        <v>0</v>
      </c>
      <c r="I181" s="280">
        <f t="shared" si="94"/>
        <v>0</v>
      </c>
      <c r="J181" s="820">
        <f>D181+D184</f>
        <v>196039861.11000001</v>
      </c>
    </row>
    <row r="182" spans="1:10" x14ac:dyDescent="0.25">
      <c r="A182" s="378"/>
      <c r="B182" s="379" t="s">
        <v>161</v>
      </c>
      <c r="C182" s="380"/>
      <c r="D182" s="382"/>
      <c r="E182" s="382"/>
      <c r="F182" s="382"/>
      <c r="G182" s="382">
        <f t="shared" si="93"/>
        <v>0</v>
      </c>
      <c r="H182" s="280">
        <f t="shared" si="86"/>
        <v>0</v>
      </c>
      <c r="I182" s="280">
        <f t="shared" si="94"/>
        <v>0</v>
      </c>
    </row>
    <row r="183" spans="1:10" x14ac:dyDescent="0.25">
      <c r="A183" s="378"/>
      <c r="B183" s="379" t="s">
        <v>162</v>
      </c>
      <c r="C183" s="380"/>
      <c r="D183" s="382">
        <f>D181-D182</f>
        <v>47691161.109999999</v>
      </c>
      <c r="E183" s="382">
        <f>E181-E182</f>
        <v>0</v>
      </c>
      <c r="F183" s="382">
        <f>F181-F182</f>
        <v>0</v>
      </c>
      <c r="G183" s="382">
        <f t="shared" si="93"/>
        <v>47691161.109999999</v>
      </c>
      <c r="H183" s="280">
        <f t="shared" si="86"/>
        <v>0</v>
      </c>
      <c r="I183" s="280">
        <f t="shared" si="94"/>
        <v>0</v>
      </c>
    </row>
    <row r="184" spans="1:10" x14ac:dyDescent="0.25">
      <c r="A184" s="689"/>
      <c r="B184" s="690" t="s">
        <v>66</v>
      </c>
      <c r="C184" s="676" t="s">
        <v>850</v>
      </c>
      <c r="D184" s="691">
        <v>148348700</v>
      </c>
      <c r="E184" s="688">
        <f>'Проверочная  таблица'!FA38</f>
        <v>0</v>
      </c>
      <c r="F184" s="688">
        <f>'Проверочная  таблица'!FD38</f>
        <v>0</v>
      </c>
      <c r="G184" s="692">
        <f t="shared" si="93"/>
        <v>148348700</v>
      </c>
      <c r="H184" s="280">
        <f t="shared" si="86"/>
        <v>0</v>
      </c>
      <c r="I184" s="280">
        <f t="shared" si="94"/>
        <v>0</v>
      </c>
    </row>
    <row r="185" spans="1:10" x14ac:dyDescent="0.25">
      <c r="A185" s="689"/>
      <c r="B185" s="693" t="s">
        <v>161</v>
      </c>
      <c r="C185" s="694"/>
      <c r="D185" s="692"/>
      <c r="E185" s="692"/>
      <c r="F185" s="692"/>
      <c r="G185" s="692">
        <f t="shared" si="93"/>
        <v>0</v>
      </c>
      <c r="H185" s="280">
        <f t="shared" si="86"/>
        <v>0</v>
      </c>
      <c r="I185" s="280">
        <f t="shared" si="94"/>
        <v>0</v>
      </c>
    </row>
    <row r="186" spans="1:10" x14ac:dyDescent="0.25">
      <c r="A186" s="689"/>
      <c r="B186" s="693" t="s">
        <v>162</v>
      </c>
      <c r="C186" s="694"/>
      <c r="D186" s="692">
        <f>D184-D185</f>
        <v>148348700</v>
      </c>
      <c r="E186" s="692">
        <f>E184-E185</f>
        <v>0</v>
      </c>
      <c r="F186" s="692">
        <f>F184-F185</f>
        <v>0</v>
      </c>
      <c r="G186" s="692">
        <f t="shared" si="93"/>
        <v>148348700</v>
      </c>
      <c r="H186" s="280">
        <f t="shared" si="86"/>
        <v>0</v>
      </c>
      <c r="I186" s="280">
        <f t="shared" si="94"/>
        <v>0</v>
      </c>
      <c r="J186" s="824"/>
    </row>
    <row r="187" spans="1:10" ht="158.4" x14ac:dyDescent="0.25">
      <c r="A187" s="245"/>
      <c r="B187" s="465" t="s">
        <v>566</v>
      </c>
      <c r="C187" s="145" t="s">
        <v>343</v>
      </c>
      <c r="D187" s="275">
        <v>3178466.67</v>
      </c>
      <c r="E187" s="195">
        <f>'Проверочная  таблица'!OT38</f>
        <v>3064224.61</v>
      </c>
      <c r="F187" s="195">
        <f>'Проверочная  таблица'!PA38</f>
        <v>1250756.48</v>
      </c>
      <c r="G187" s="276">
        <f t="shared" ref="G187:G192" si="95">D187-E187</f>
        <v>114242.06000000006</v>
      </c>
      <c r="H187" s="280">
        <f t="shared" ref="H187:H192" si="96">IF(F187&gt;E187,1,0)</f>
        <v>0</v>
      </c>
      <c r="I187" s="280">
        <f t="shared" si="92"/>
        <v>0</v>
      </c>
      <c r="J187" s="820">
        <f>D187+D190</f>
        <v>11351666.67</v>
      </c>
    </row>
    <row r="188" spans="1:10" x14ac:dyDescent="0.25">
      <c r="A188" s="378"/>
      <c r="B188" s="379" t="s">
        <v>161</v>
      </c>
      <c r="C188" s="380"/>
      <c r="D188" s="382"/>
      <c r="E188" s="382"/>
      <c r="F188" s="382"/>
      <c r="G188" s="382">
        <f t="shared" si="95"/>
        <v>0</v>
      </c>
      <c r="H188" s="280">
        <f t="shared" si="96"/>
        <v>0</v>
      </c>
      <c r="I188" s="280">
        <f t="shared" si="92"/>
        <v>0</v>
      </c>
    </row>
    <row r="189" spans="1:10" x14ac:dyDescent="0.25">
      <c r="A189" s="378"/>
      <c r="B189" s="379" t="s">
        <v>162</v>
      </c>
      <c r="C189" s="380"/>
      <c r="D189" s="382">
        <f>D187-D188</f>
        <v>3178466.67</v>
      </c>
      <c r="E189" s="382">
        <f>E187-E188</f>
        <v>3064224.61</v>
      </c>
      <c r="F189" s="382">
        <f>F187-F188</f>
        <v>1250756.48</v>
      </c>
      <c r="G189" s="382">
        <f t="shared" si="95"/>
        <v>114242.06000000006</v>
      </c>
      <c r="H189" s="280">
        <f t="shared" si="96"/>
        <v>0</v>
      </c>
      <c r="I189" s="280">
        <f t="shared" si="92"/>
        <v>0</v>
      </c>
    </row>
    <row r="190" spans="1:10" x14ac:dyDescent="0.25">
      <c r="A190" s="689"/>
      <c r="B190" s="690" t="s">
        <v>66</v>
      </c>
      <c r="C190" s="676" t="s">
        <v>343</v>
      </c>
      <c r="D190" s="691">
        <v>8173200</v>
      </c>
      <c r="E190" s="688">
        <f>'Проверочная  таблица'!OU38</f>
        <v>7879434.7299999995</v>
      </c>
      <c r="F190" s="688">
        <f>'Проверочная  таблица'!PB38</f>
        <v>3216230.96</v>
      </c>
      <c r="G190" s="692">
        <f t="shared" si="95"/>
        <v>293765.27000000048</v>
      </c>
      <c r="H190" s="280">
        <f t="shared" si="96"/>
        <v>0</v>
      </c>
      <c r="I190" s="280">
        <f t="shared" ref="I190:I195" si="97">IF(G190&lt;0,1,0)</f>
        <v>0</v>
      </c>
    </row>
    <row r="191" spans="1:10" x14ac:dyDescent="0.25">
      <c r="A191" s="689"/>
      <c r="B191" s="693" t="s">
        <v>161</v>
      </c>
      <c r="C191" s="694"/>
      <c r="D191" s="692"/>
      <c r="E191" s="692"/>
      <c r="F191" s="692"/>
      <c r="G191" s="692">
        <f t="shared" si="95"/>
        <v>0</v>
      </c>
      <c r="H191" s="280">
        <f t="shared" si="96"/>
        <v>0</v>
      </c>
      <c r="I191" s="280">
        <f t="shared" si="97"/>
        <v>0</v>
      </c>
    </row>
    <row r="192" spans="1:10" x14ac:dyDescent="0.25">
      <c r="A192" s="689"/>
      <c r="B192" s="693" t="s">
        <v>162</v>
      </c>
      <c r="C192" s="694"/>
      <c r="D192" s="692">
        <f>D190-D191</f>
        <v>8173200</v>
      </c>
      <c r="E192" s="692">
        <f>E190-E191</f>
        <v>7879434.7299999995</v>
      </c>
      <c r="F192" s="692">
        <f>F190-F191</f>
        <v>3216230.96</v>
      </c>
      <c r="G192" s="692">
        <f t="shared" si="95"/>
        <v>293765.27000000048</v>
      </c>
      <c r="H192" s="280">
        <f t="shared" si="96"/>
        <v>0</v>
      </c>
      <c r="I192" s="280">
        <f t="shared" si="97"/>
        <v>0</v>
      </c>
      <c r="J192" s="824"/>
    </row>
    <row r="193" spans="1:11" ht="145.19999999999999" x14ac:dyDescent="0.25">
      <c r="A193" s="245"/>
      <c r="B193" s="465" t="s">
        <v>563</v>
      </c>
      <c r="C193" s="145" t="s">
        <v>342</v>
      </c>
      <c r="D193" s="275">
        <v>17323533.329999998</v>
      </c>
      <c r="E193" s="195">
        <f>'Проверочная  таблица'!AO38</f>
        <v>0</v>
      </c>
      <c r="F193" s="195">
        <f>'Проверочная  таблица'!AU38</f>
        <v>0</v>
      </c>
      <c r="G193" s="276">
        <f t="shared" ref="G193:G198" si="98">D193-E193</f>
        <v>17323533.329999998</v>
      </c>
      <c r="H193" s="280">
        <f>IF(F193&gt;E193,1,0)</f>
        <v>0</v>
      </c>
      <c r="I193" s="280">
        <f t="shared" si="97"/>
        <v>0</v>
      </c>
      <c r="J193" s="824"/>
    </row>
    <row r="194" spans="1:11" x14ac:dyDescent="0.25">
      <c r="A194" s="378"/>
      <c r="B194" s="379" t="s">
        <v>161</v>
      </c>
      <c r="C194" s="380"/>
      <c r="D194" s="382"/>
      <c r="E194" s="382"/>
      <c r="F194" s="382"/>
      <c r="G194" s="382">
        <f t="shared" si="98"/>
        <v>0</v>
      </c>
      <c r="H194" s="280">
        <f>IF(F194&gt;E194,1,0)</f>
        <v>0</v>
      </c>
      <c r="I194" s="280">
        <f t="shared" si="97"/>
        <v>0</v>
      </c>
      <c r="J194" s="824"/>
    </row>
    <row r="195" spans="1:11" x14ac:dyDescent="0.25">
      <c r="A195" s="378"/>
      <c r="B195" s="379" t="s">
        <v>162</v>
      </c>
      <c r="C195" s="380"/>
      <c r="D195" s="382">
        <f>D193-D194</f>
        <v>17323533.329999998</v>
      </c>
      <c r="E195" s="382">
        <f>E193-E194</f>
        <v>0</v>
      </c>
      <c r="F195" s="382">
        <f>F193-F194</f>
        <v>0</v>
      </c>
      <c r="G195" s="382">
        <f t="shared" si="98"/>
        <v>17323533.329999998</v>
      </c>
      <c r="H195" s="280">
        <f>IF(F195&gt;E195,1,0)</f>
        <v>0</v>
      </c>
      <c r="I195" s="280">
        <f t="shared" si="97"/>
        <v>0</v>
      </c>
      <c r="J195" s="824"/>
    </row>
    <row r="196" spans="1:11" ht="158.4" x14ac:dyDescent="0.25">
      <c r="A196" s="1092"/>
      <c r="B196" s="645" t="s">
        <v>399</v>
      </c>
      <c r="C196" s="145" t="s">
        <v>398</v>
      </c>
      <c r="D196" s="646">
        <f>51600000+48400000+21936225.1</f>
        <v>121936225.09999999</v>
      </c>
      <c r="E196" s="182">
        <f>'Прочая  субсидия_МР  и  ГО'!BF38</f>
        <v>99994000</v>
      </c>
      <c r="F196" s="182">
        <f>'Прочая  субсидия_МР  и  ГО'!BG38</f>
        <v>94650347.840000004</v>
      </c>
      <c r="G196" s="276">
        <f t="shared" si="98"/>
        <v>21942225.099999994</v>
      </c>
      <c r="H196" s="280">
        <f t="shared" ref="H196:H198" si="99">IF(F196&gt;E196,1,0)</f>
        <v>0</v>
      </c>
      <c r="I196" s="280">
        <f>IF(G196&lt;0,1,0)</f>
        <v>0</v>
      </c>
    </row>
    <row r="197" spans="1:11" x14ac:dyDescent="0.25">
      <c r="A197" s="378"/>
      <c r="B197" s="379" t="s">
        <v>161</v>
      </c>
      <c r="C197" s="613"/>
      <c r="D197" s="382"/>
      <c r="E197" s="382"/>
      <c r="F197" s="382"/>
      <c r="G197" s="382">
        <f t="shared" si="98"/>
        <v>0</v>
      </c>
      <c r="H197" s="280">
        <f t="shared" si="99"/>
        <v>0</v>
      </c>
      <c r="I197" s="280">
        <f>IF(G197&lt;0,1,0)</f>
        <v>0</v>
      </c>
    </row>
    <row r="198" spans="1:11" x14ac:dyDescent="0.25">
      <c r="A198" s="378"/>
      <c r="B198" s="379" t="s">
        <v>162</v>
      </c>
      <c r="C198" s="380"/>
      <c r="D198" s="382"/>
      <c r="E198" s="382"/>
      <c r="F198" s="382"/>
      <c r="G198" s="382">
        <f t="shared" si="98"/>
        <v>0</v>
      </c>
      <c r="H198" s="280">
        <f t="shared" si="99"/>
        <v>0</v>
      </c>
      <c r="I198" s="280">
        <f>IF(G198&lt;0,1,0)</f>
        <v>0</v>
      </c>
    </row>
    <row r="199" spans="1:11" x14ac:dyDescent="0.25">
      <c r="A199" s="378"/>
      <c r="B199" s="379" t="s">
        <v>402</v>
      </c>
      <c r="C199" s="380"/>
      <c r="D199" s="382">
        <f>D196</f>
        <v>121936225.09999999</v>
      </c>
      <c r="E199" s="382">
        <f t="shared" ref="E199:F199" si="100">E196</f>
        <v>99994000</v>
      </c>
      <c r="F199" s="382">
        <f t="shared" si="100"/>
        <v>94650347.840000004</v>
      </c>
      <c r="G199" s="382">
        <f t="shared" ref="G199" si="101">D199-E199</f>
        <v>21942225.099999994</v>
      </c>
      <c r="H199" s="280">
        <f t="shared" ref="H199" si="102">IF(F199&gt;E199,1,0)</f>
        <v>0</v>
      </c>
      <c r="I199" s="280">
        <f>IF(G199&lt;0,1,0)</f>
        <v>0</v>
      </c>
    </row>
    <row r="200" spans="1:11" s="837" customFormat="1" x14ac:dyDescent="0.25">
      <c r="A200" s="245"/>
      <c r="B200" s="362"/>
      <c r="C200" s="262"/>
      <c r="D200" s="471"/>
      <c r="E200" s="471"/>
      <c r="F200" s="471"/>
      <c r="G200" s="471"/>
      <c r="H200" s="472"/>
      <c r="I200" s="280">
        <f t="shared" si="92"/>
        <v>0</v>
      </c>
      <c r="J200" s="823"/>
    </row>
    <row r="201" spans="1:11" x14ac:dyDescent="0.25">
      <c r="A201" s="180" t="s">
        <v>141</v>
      </c>
      <c r="B201" s="247" t="s">
        <v>142</v>
      </c>
      <c r="C201" s="186"/>
      <c r="D201" s="278">
        <f>D230+D206+D214+D210+D218+D234+D222+D226</f>
        <v>1249431461.4400001</v>
      </c>
      <c r="E201" s="278">
        <f t="shared" ref="E201:G201" si="103">E230+E206+E214+E210+E218+E234+E222+E226</f>
        <v>1224463765.3300002</v>
      </c>
      <c r="F201" s="278">
        <f t="shared" si="103"/>
        <v>830965242.11999989</v>
      </c>
      <c r="G201" s="278">
        <f t="shared" si="103"/>
        <v>24967696.110000014</v>
      </c>
      <c r="H201" s="280">
        <f t="shared" ref="H201:H205" si="104">IF(F201&gt;E201,1,0)</f>
        <v>0</v>
      </c>
      <c r="I201" s="280">
        <f t="shared" si="92"/>
        <v>0</v>
      </c>
    </row>
    <row r="202" spans="1:11" x14ac:dyDescent="0.25">
      <c r="A202" s="370"/>
      <c r="B202" s="371" t="s">
        <v>161</v>
      </c>
      <c r="C202" s="372"/>
      <c r="D202" s="493">
        <f>D231+D207+D215+D211+D219+D235+D223+D227</f>
        <v>0</v>
      </c>
      <c r="E202" s="493">
        <f t="shared" ref="E202:G202" si="105">E231+E207+E215+E211+E219+E235+E223+E227</f>
        <v>0</v>
      </c>
      <c r="F202" s="493">
        <f t="shared" si="105"/>
        <v>0</v>
      </c>
      <c r="G202" s="493">
        <f t="shared" si="105"/>
        <v>0</v>
      </c>
      <c r="H202" s="280">
        <f t="shared" si="104"/>
        <v>0</v>
      </c>
      <c r="I202" s="280">
        <f t="shared" si="92"/>
        <v>0</v>
      </c>
    </row>
    <row r="203" spans="1:11" x14ac:dyDescent="0.25">
      <c r="A203" s="370"/>
      <c r="B203" s="371" t="s">
        <v>162</v>
      </c>
      <c r="C203" s="372"/>
      <c r="D203" s="493">
        <f>D232+D208+D216+D212+D220+D236+D224+D228</f>
        <v>0</v>
      </c>
      <c r="E203" s="493">
        <f t="shared" ref="E203:G203" si="106">E232+E208+E216+E212+E220+E236+E224+E228</f>
        <v>0</v>
      </c>
      <c r="F203" s="493">
        <f t="shared" si="106"/>
        <v>0</v>
      </c>
      <c r="G203" s="493">
        <f t="shared" si="106"/>
        <v>0</v>
      </c>
      <c r="H203" s="280">
        <f t="shared" si="104"/>
        <v>0</v>
      </c>
      <c r="I203" s="280">
        <f t="shared" si="92"/>
        <v>0</v>
      </c>
    </row>
    <row r="204" spans="1:11" x14ac:dyDescent="0.25">
      <c r="A204" s="370"/>
      <c r="B204" s="371" t="s">
        <v>402</v>
      </c>
      <c r="C204" s="372"/>
      <c r="D204" s="493">
        <f>D201-D202-D203</f>
        <v>1249431461.4400001</v>
      </c>
      <c r="E204" s="493">
        <f t="shared" ref="E204:G204" si="107">E201-E202-E203</f>
        <v>1224463765.3300002</v>
      </c>
      <c r="F204" s="493">
        <f t="shared" si="107"/>
        <v>830965242.11999989</v>
      </c>
      <c r="G204" s="493">
        <f t="shared" si="107"/>
        <v>24967696.110000014</v>
      </c>
      <c r="H204" s="280">
        <f t="shared" ref="H204" si="108">IF(F204&gt;E204,1,0)</f>
        <v>0</v>
      </c>
      <c r="I204" s="280">
        <f t="shared" ref="I204" si="109">IF(G204&lt;0,1,0)</f>
        <v>0</v>
      </c>
    </row>
    <row r="205" spans="1:11" x14ac:dyDescent="0.25">
      <c r="A205" s="188"/>
      <c r="B205" s="464" t="s">
        <v>45</v>
      </c>
      <c r="C205" s="184"/>
      <c r="D205" s="277"/>
      <c r="E205" s="182"/>
      <c r="F205" s="182"/>
      <c r="G205" s="276"/>
      <c r="H205" s="280">
        <f t="shared" si="104"/>
        <v>0</v>
      </c>
      <c r="I205" s="280">
        <f t="shared" si="92"/>
        <v>0</v>
      </c>
    </row>
    <row r="206" spans="1:11" ht="198" x14ac:dyDescent="0.25">
      <c r="A206" s="188"/>
      <c r="B206" s="645" t="s">
        <v>553</v>
      </c>
      <c r="C206" s="145" t="s">
        <v>550</v>
      </c>
      <c r="D206" s="646">
        <f>5449805.25+0.26-0.25-2446906.43</f>
        <v>3002898.8299999996</v>
      </c>
      <c r="E206" s="182">
        <f>'Проверочная  таблица'!LH38-E100</f>
        <v>3002898.8299999996</v>
      </c>
      <c r="F206" s="182">
        <f>'Проверочная  таблица'!LO38-F100</f>
        <v>833730.38000000012</v>
      </c>
      <c r="G206" s="276">
        <f t="shared" ref="G206:G216" si="110">D206-E206</f>
        <v>0</v>
      </c>
      <c r="H206" s="280">
        <f t="shared" ref="H206:H220" si="111">IF(F206&gt;E206,1,0)</f>
        <v>0</v>
      </c>
      <c r="I206" s="280">
        <f t="shared" si="92"/>
        <v>0</v>
      </c>
      <c r="J206" s="820">
        <f>D206+D210</f>
        <v>60057976.699999996</v>
      </c>
      <c r="K206" s="820">
        <f>J206+J100</f>
        <v>108996105.25999999</v>
      </c>
    </row>
    <row r="207" spans="1:11" x14ac:dyDescent="0.25">
      <c r="A207" s="378"/>
      <c r="B207" s="379" t="s">
        <v>161</v>
      </c>
      <c r="C207" s="613"/>
      <c r="D207" s="382"/>
      <c r="E207" s="382"/>
      <c r="F207" s="382"/>
      <c r="G207" s="382">
        <f t="shared" si="110"/>
        <v>0</v>
      </c>
      <c r="H207" s="280">
        <f t="shared" si="111"/>
        <v>0</v>
      </c>
      <c r="I207" s="280">
        <f t="shared" si="92"/>
        <v>0</v>
      </c>
      <c r="J207" s="846">
        <f>F206+F210</f>
        <v>16674607.520000003</v>
      </c>
      <c r="K207" s="191" t="s">
        <v>172</v>
      </c>
    </row>
    <row r="208" spans="1:11" x14ac:dyDescent="0.25">
      <c r="A208" s="378"/>
      <c r="B208" s="379" t="s">
        <v>162</v>
      </c>
      <c r="C208" s="380"/>
      <c r="D208" s="382"/>
      <c r="E208" s="382"/>
      <c r="F208" s="382"/>
      <c r="G208" s="382">
        <f t="shared" si="110"/>
        <v>0</v>
      </c>
      <c r="H208" s="280">
        <f t="shared" si="111"/>
        <v>0</v>
      </c>
      <c r="I208" s="280">
        <f t="shared" si="92"/>
        <v>0</v>
      </c>
    </row>
    <row r="209" spans="1:10" x14ac:dyDescent="0.25">
      <c r="A209" s="378"/>
      <c r="B209" s="379" t="s">
        <v>402</v>
      </c>
      <c r="C209" s="380"/>
      <c r="D209" s="382">
        <f>D206</f>
        <v>3002898.8299999996</v>
      </c>
      <c r="E209" s="382">
        <f t="shared" ref="E209:F209" si="112">E206</f>
        <v>3002898.8299999996</v>
      </c>
      <c r="F209" s="382">
        <f t="shared" si="112"/>
        <v>833730.38000000012</v>
      </c>
      <c r="G209" s="382">
        <f t="shared" ref="G209" si="113">D209-E209</f>
        <v>0</v>
      </c>
      <c r="H209" s="280">
        <f t="shared" ref="H209" si="114">IF(F209&gt;E209,1,0)</f>
        <v>0</v>
      </c>
      <c r="I209" s="280">
        <f t="shared" ref="I209" si="115">IF(G209&lt;0,1,0)</f>
        <v>0</v>
      </c>
    </row>
    <row r="210" spans="1:10" x14ac:dyDescent="0.25">
      <c r="A210" s="689"/>
      <c r="B210" s="690" t="s">
        <v>66</v>
      </c>
      <c r="C210" s="676" t="s">
        <v>550</v>
      </c>
      <c r="D210" s="691">
        <f>103546299.75+0.25-46491222.13</f>
        <v>57055077.869999997</v>
      </c>
      <c r="E210" s="688">
        <f>'Проверочная  таблица'!LI38-E104</f>
        <v>57055077.869999997</v>
      </c>
      <c r="F210" s="688">
        <f>'Проверочная  таблица'!LP38-F104</f>
        <v>15840877.140000002</v>
      </c>
      <c r="G210" s="692">
        <f t="shared" si="110"/>
        <v>0</v>
      </c>
      <c r="H210" s="280">
        <f>IF(F210&gt;E210,1,0)</f>
        <v>0</v>
      </c>
      <c r="I210" s="280">
        <f>IF(G210&lt;0,1,0)</f>
        <v>0</v>
      </c>
    </row>
    <row r="211" spans="1:10" x14ac:dyDescent="0.25">
      <c r="A211" s="689"/>
      <c r="B211" s="693" t="s">
        <v>161</v>
      </c>
      <c r="C211" s="694"/>
      <c r="D211" s="692"/>
      <c r="E211" s="692"/>
      <c r="F211" s="692"/>
      <c r="G211" s="692">
        <f>D211-E211</f>
        <v>0</v>
      </c>
      <c r="H211" s="280">
        <f>IF(F211&gt;E211,1,0)</f>
        <v>0</v>
      </c>
      <c r="I211" s="280">
        <f>IF(G211&lt;0,1,0)</f>
        <v>0</v>
      </c>
    </row>
    <row r="212" spans="1:10" x14ac:dyDescent="0.25">
      <c r="A212" s="689"/>
      <c r="B212" s="693" t="s">
        <v>162</v>
      </c>
      <c r="C212" s="694"/>
      <c r="D212" s="692"/>
      <c r="E212" s="692"/>
      <c r="F212" s="692"/>
      <c r="G212" s="692">
        <f>D212-E212</f>
        <v>0</v>
      </c>
      <c r="H212" s="280">
        <f>IF(F212&gt;E212,1,0)</f>
        <v>0</v>
      </c>
      <c r="I212" s="280">
        <f>IF(G212&lt;0,1,0)</f>
        <v>0</v>
      </c>
    </row>
    <row r="213" spans="1:10" x14ac:dyDescent="0.25">
      <c r="A213" s="689"/>
      <c r="B213" s="693" t="s">
        <v>402</v>
      </c>
      <c r="C213" s="694"/>
      <c r="D213" s="1175">
        <f>D210</f>
        <v>57055077.869999997</v>
      </c>
      <c r="E213" s="1175">
        <f t="shared" ref="E213:G213" si="116">E210</f>
        <v>57055077.869999997</v>
      </c>
      <c r="F213" s="1175">
        <f t="shared" si="116"/>
        <v>15840877.140000002</v>
      </c>
      <c r="G213" s="1175">
        <f t="shared" si="116"/>
        <v>0</v>
      </c>
      <c r="H213" s="280">
        <f>IF(F213&gt;E213,1,0)</f>
        <v>0</v>
      </c>
      <c r="I213" s="280">
        <f>IF(G213&lt;0,1,0)</f>
        <v>0</v>
      </c>
    </row>
    <row r="214" spans="1:10" ht="198" x14ac:dyDescent="0.25">
      <c r="A214" s="188"/>
      <c r="B214" s="645" t="s">
        <v>557</v>
      </c>
      <c r="C214" s="145" t="s">
        <v>554</v>
      </c>
      <c r="D214" s="646">
        <v>12800000</v>
      </c>
      <c r="E214" s="182">
        <f>'Проверочная  таблица'!LJ38</f>
        <v>12800000</v>
      </c>
      <c r="F214" s="182">
        <f>'Проверочная  таблица'!LQ38</f>
        <v>3755907.28</v>
      </c>
      <c r="G214" s="276">
        <f t="shared" si="110"/>
        <v>0</v>
      </c>
      <c r="H214" s="280">
        <f t="shared" si="111"/>
        <v>0</v>
      </c>
      <c r="I214" s="280">
        <f t="shared" si="92"/>
        <v>0</v>
      </c>
      <c r="J214" s="820">
        <f>D214+D218</f>
        <v>256000000</v>
      </c>
    </row>
    <row r="215" spans="1:10" x14ac:dyDescent="0.25">
      <c r="A215" s="378"/>
      <c r="B215" s="379" t="s">
        <v>161</v>
      </c>
      <c r="C215" s="613"/>
      <c r="D215" s="382"/>
      <c r="E215" s="382"/>
      <c r="F215" s="382"/>
      <c r="G215" s="382">
        <f t="shared" si="110"/>
        <v>0</v>
      </c>
      <c r="H215" s="280">
        <f t="shared" si="111"/>
        <v>0</v>
      </c>
      <c r="I215" s="280">
        <f t="shared" si="92"/>
        <v>0</v>
      </c>
    </row>
    <row r="216" spans="1:10" x14ac:dyDescent="0.25">
      <c r="A216" s="378"/>
      <c r="B216" s="379" t="s">
        <v>162</v>
      </c>
      <c r="C216" s="380"/>
      <c r="D216" s="382"/>
      <c r="E216" s="382"/>
      <c r="F216" s="382"/>
      <c r="G216" s="382">
        <f t="shared" si="110"/>
        <v>0</v>
      </c>
      <c r="H216" s="280">
        <f t="shared" si="111"/>
        <v>0</v>
      </c>
      <c r="I216" s="280">
        <f t="shared" si="92"/>
        <v>0</v>
      </c>
    </row>
    <row r="217" spans="1:10" x14ac:dyDescent="0.25">
      <c r="A217" s="378"/>
      <c r="B217" s="379" t="s">
        <v>402</v>
      </c>
      <c r="C217" s="380"/>
      <c r="D217" s="382">
        <f>D214</f>
        <v>12800000</v>
      </c>
      <c r="E217" s="382">
        <f t="shared" ref="E217:F217" si="117">E214</f>
        <v>12800000</v>
      </c>
      <c r="F217" s="382">
        <f t="shared" si="117"/>
        <v>3755907.28</v>
      </c>
      <c r="G217" s="382">
        <f t="shared" ref="G217" si="118">D217-E217</f>
        <v>0</v>
      </c>
      <c r="H217" s="280">
        <f t="shared" ref="H217" si="119">IF(F217&gt;E217,1,0)</f>
        <v>0</v>
      </c>
      <c r="I217" s="280">
        <f t="shared" ref="I217" si="120">IF(G217&lt;0,1,0)</f>
        <v>0</v>
      </c>
    </row>
    <row r="218" spans="1:10" x14ac:dyDescent="0.25">
      <c r="A218" s="689"/>
      <c r="B218" s="690" t="s">
        <v>66</v>
      </c>
      <c r="C218" s="676" t="s">
        <v>554</v>
      </c>
      <c r="D218" s="691">
        <v>243200000</v>
      </c>
      <c r="E218" s="688">
        <f>'Проверочная  таблица'!LK38</f>
        <v>243200000</v>
      </c>
      <c r="F218" s="688">
        <f>'Проверочная  таблица'!LR38</f>
        <v>71362238.319999993</v>
      </c>
      <c r="G218" s="692">
        <f>D218-E218</f>
        <v>0</v>
      </c>
      <c r="H218" s="280">
        <f t="shared" si="111"/>
        <v>0</v>
      </c>
      <c r="I218" s="280">
        <f t="shared" si="92"/>
        <v>0</v>
      </c>
    </row>
    <row r="219" spans="1:10" x14ac:dyDescent="0.25">
      <c r="A219" s="689"/>
      <c r="B219" s="693" t="s">
        <v>161</v>
      </c>
      <c r="C219" s="694"/>
      <c r="D219" s="692"/>
      <c r="E219" s="692"/>
      <c r="F219" s="692"/>
      <c r="G219" s="692">
        <f>D219-E219</f>
        <v>0</v>
      </c>
      <c r="H219" s="280">
        <f t="shared" si="111"/>
        <v>0</v>
      </c>
      <c r="I219" s="280">
        <f t="shared" si="92"/>
        <v>0</v>
      </c>
    </row>
    <row r="220" spans="1:10" x14ac:dyDescent="0.25">
      <c r="A220" s="689"/>
      <c r="B220" s="693" t="s">
        <v>162</v>
      </c>
      <c r="C220" s="694"/>
      <c r="D220" s="692"/>
      <c r="E220" s="692"/>
      <c r="F220" s="692"/>
      <c r="G220" s="692">
        <f>D220-E220</f>
        <v>0</v>
      </c>
      <c r="H220" s="280">
        <f t="shared" si="111"/>
        <v>0</v>
      </c>
      <c r="I220" s="280">
        <f t="shared" si="92"/>
        <v>0</v>
      </c>
    </row>
    <row r="221" spans="1:10" x14ac:dyDescent="0.25">
      <c r="A221" s="689"/>
      <c r="B221" s="693" t="s">
        <v>402</v>
      </c>
      <c r="C221" s="694"/>
      <c r="D221" s="692">
        <f>D218</f>
        <v>243200000</v>
      </c>
      <c r="E221" s="692">
        <f t="shared" ref="E221:G221" si="121">E218</f>
        <v>243200000</v>
      </c>
      <c r="F221" s="692">
        <f t="shared" si="121"/>
        <v>71362238.319999993</v>
      </c>
      <c r="G221" s="692">
        <f t="shared" si="121"/>
        <v>0</v>
      </c>
      <c r="H221" s="280">
        <f t="shared" ref="H221:H228" si="122">IF(F221&gt;E221,1,0)</f>
        <v>0</v>
      </c>
      <c r="I221" s="280">
        <f t="shared" ref="I221:I228" si="123">IF(G221&lt;0,1,0)</f>
        <v>0</v>
      </c>
    </row>
    <row r="222" spans="1:10" s="837" customFormat="1" ht="224.4" x14ac:dyDescent="0.25">
      <c r="A222" s="1299"/>
      <c r="B222" s="645" t="s">
        <v>776</v>
      </c>
      <c r="C222" s="145" t="s">
        <v>775</v>
      </c>
      <c r="D222" s="646">
        <v>4429.63</v>
      </c>
      <c r="E222" s="182">
        <f>'Проверочная  таблица'!LL38</f>
        <v>4429.6299999999992</v>
      </c>
      <c r="F222" s="182">
        <f>'Проверочная  таблица'!LS38</f>
        <v>0</v>
      </c>
      <c r="G222" s="276">
        <f t="shared" ref="G222:G225" si="124">D222-E222</f>
        <v>0</v>
      </c>
      <c r="H222" s="280">
        <f t="shared" si="122"/>
        <v>0</v>
      </c>
      <c r="I222" s="280">
        <f t="shared" si="123"/>
        <v>0</v>
      </c>
      <c r="J222" s="820">
        <f>D222+D226</f>
        <v>9629.630000000001</v>
      </c>
    </row>
    <row r="223" spans="1:10" s="837" customFormat="1" x14ac:dyDescent="0.25">
      <c r="A223" s="378"/>
      <c r="B223" s="379" t="s">
        <v>161</v>
      </c>
      <c r="C223" s="613"/>
      <c r="D223" s="382"/>
      <c r="E223" s="382"/>
      <c r="F223" s="382"/>
      <c r="G223" s="382">
        <f t="shared" si="124"/>
        <v>0</v>
      </c>
      <c r="H223" s="280">
        <f t="shared" si="122"/>
        <v>0</v>
      </c>
      <c r="I223" s="280">
        <f t="shared" si="123"/>
        <v>0</v>
      </c>
      <c r="J223" s="821"/>
    </row>
    <row r="224" spans="1:10" s="837" customFormat="1" x14ac:dyDescent="0.25">
      <c r="A224" s="378"/>
      <c r="B224" s="379" t="s">
        <v>162</v>
      </c>
      <c r="C224" s="380"/>
      <c r="D224" s="382"/>
      <c r="E224" s="382"/>
      <c r="F224" s="382"/>
      <c r="G224" s="382">
        <f t="shared" si="124"/>
        <v>0</v>
      </c>
      <c r="H224" s="280">
        <f t="shared" si="122"/>
        <v>0</v>
      </c>
      <c r="I224" s="280">
        <f t="shared" si="123"/>
        <v>0</v>
      </c>
      <c r="J224" s="821"/>
    </row>
    <row r="225" spans="1:11" s="837" customFormat="1" x14ac:dyDescent="0.25">
      <c r="A225" s="378"/>
      <c r="B225" s="379" t="s">
        <v>402</v>
      </c>
      <c r="C225" s="380"/>
      <c r="D225" s="382">
        <f>D222</f>
        <v>4429.63</v>
      </c>
      <c r="E225" s="382">
        <f t="shared" ref="E225:F225" si="125">E222</f>
        <v>4429.6299999999992</v>
      </c>
      <c r="F225" s="382">
        <f t="shared" si="125"/>
        <v>0</v>
      </c>
      <c r="G225" s="382">
        <f t="shared" si="124"/>
        <v>0</v>
      </c>
      <c r="H225" s="280">
        <f t="shared" si="122"/>
        <v>0</v>
      </c>
      <c r="I225" s="280">
        <f t="shared" si="123"/>
        <v>0</v>
      </c>
      <c r="J225" s="821"/>
    </row>
    <row r="226" spans="1:11" s="837" customFormat="1" x14ac:dyDescent="0.25">
      <c r="A226" s="689"/>
      <c r="B226" s="690" t="s">
        <v>66</v>
      </c>
      <c r="C226" s="676" t="s">
        <v>775</v>
      </c>
      <c r="D226" s="691">
        <v>5200</v>
      </c>
      <c r="E226" s="688">
        <f>'Проверочная  таблица'!LM38</f>
        <v>5200</v>
      </c>
      <c r="F226" s="688">
        <f>'Проверочная  таблица'!LT38</f>
        <v>0</v>
      </c>
      <c r="G226" s="692">
        <f>D226-E226</f>
        <v>0</v>
      </c>
      <c r="H226" s="280">
        <f t="shared" si="122"/>
        <v>0</v>
      </c>
      <c r="I226" s="280">
        <f t="shared" si="123"/>
        <v>0</v>
      </c>
      <c r="J226" s="821"/>
    </row>
    <row r="227" spans="1:11" s="837" customFormat="1" x14ac:dyDescent="0.25">
      <c r="A227" s="689"/>
      <c r="B227" s="693" t="s">
        <v>161</v>
      </c>
      <c r="C227" s="694"/>
      <c r="D227" s="692"/>
      <c r="E227" s="692"/>
      <c r="F227" s="692"/>
      <c r="G227" s="692">
        <f>D227-E227</f>
        <v>0</v>
      </c>
      <c r="H227" s="280">
        <f t="shared" si="122"/>
        <v>0</v>
      </c>
      <c r="I227" s="280">
        <f t="shared" si="123"/>
        <v>0</v>
      </c>
      <c r="J227" s="821"/>
    </row>
    <row r="228" spans="1:11" s="837" customFormat="1" x14ac:dyDescent="0.25">
      <c r="A228" s="689"/>
      <c r="B228" s="693" t="s">
        <v>162</v>
      </c>
      <c r="C228" s="694"/>
      <c r="D228" s="692"/>
      <c r="E228" s="692"/>
      <c r="F228" s="692"/>
      <c r="G228" s="692">
        <f>D228-E228</f>
        <v>0</v>
      </c>
      <c r="H228" s="280">
        <f t="shared" si="122"/>
        <v>0</v>
      </c>
      <c r="I228" s="280">
        <f t="shared" si="123"/>
        <v>0</v>
      </c>
      <c r="J228" s="821"/>
    </row>
    <row r="229" spans="1:11" s="837" customFormat="1" x14ac:dyDescent="0.25">
      <c r="A229" s="689"/>
      <c r="B229" s="693" t="s">
        <v>402</v>
      </c>
      <c r="C229" s="694"/>
      <c r="D229" s="692">
        <f>D226</f>
        <v>5200</v>
      </c>
      <c r="E229" s="692">
        <f t="shared" ref="E229:G229" si="126">E226</f>
        <v>5200</v>
      </c>
      <c r="F229" s="692">
        <f t="shared" si="126"/>
        <v>0</v>
      </c>
      <c r="G229" s="692">
        <f t="shared" si="126"/>
        <v>0</v>
      </c>
      <c r="H229" s="280">
        <f t="shared" ref="H229" si="127">IF(F229&gt;E229,1,0)</f>
        <v>0</v>
      </c>
      <c r="I229" s="280">
        <f t="shared" ref="I229" si="128">IF(G229&lt;0,1,0)</f>
        <v>0</v>
      </c>
      <c r="J229" s="821"/>
    </row>
    <row r="230" spans="1:11" ht="132" x14ac:dyDescent="0.25">
      <c r="A230" s="188"/>
      <c r="B230" s="465" t="s">
        <v>341</v>
      </c>
      <c r="C230" s="145" t="s">
        <v>340</v>
      </c>
      <c r="D230" s="197">
        <f>248368285+264999999.74+349995570.37</f>
        <v>863363855.11000001</v>
      </c>
      <c r="E230" s="182">
        <f>'Прочая  субсидия_МР  и  ГО'!BJ38</f>
        <v>838396159</v>
      </c>
      <c r="F230" s="182">
        <f>'Прочая  субсидия_МР  и  ГО'!BK38</f>
        <v>669172489</v>
      </c>
      <c r="G230" s="276">
        <f t="shared" ref="G230:G232" si="129">D230-E230</f>
        <v>24967696.110000014</v>
      </c>
      <c r="H230" s="280">
        <f t="shared" ref="H230:H236" si="130">IF(F230&gt;E230,1,0)</f>
        <v>0</v>
      </c>
      <c r="I230" s="280">
        <f t="shared" ref="I230:I236" si="131">IF(G230&lt;0,1,0)</f>
        <v>0</v>
      </c>
      <c r="K230" s="1484"/>
    </row>
    <row r="231" spans="1:11" x14ac:dyDescent="0.25">
      <c r="A231" s="378"/>
      <c r="B231" s="379" t="s">
        <v>161</v>
      </c>
      <c r="C231" s="380"/>
      <c r="D231" s="382"/>
      <c r="E231" s="382"/>
      <c r="F231" s="382"/>
      <c r="G231" s="382">
        <f t="shared" si="129"/>
        <v>0</v>
      </c>
      <c r="H231" s="280">
        <f t="shared" si="130"/>
        <v>0</v>
      </c>
      <c r="I231" s="280">
        <f t="shared" si="131"/>
        <v>0</v>
      </c>
    </row>
    <row r="232" spans="1:11" x14ac:dyDescent="0.25">
      <c r="A232" s="378"/>
      <c r="B232" s="379" t="s">
        <v>162</v>
      </c>
      <c r="C232" s="612"/>
      <c r="D232" s="381"/>
      <c r="E232" s="381"/>
      <c r="F232" s="381"/>
      <c r="G232" s="382">
        <f t="shared" si="129"/>
        <v>0</v>
      </c>
      <c r="H232" s="280">
        <f t="shared" si="130"/>
        <v>0</v>
      </c>
      <c r="I232" s="280">
        <f t="shared" si="131"/>
        <v>0</v>
      </c>
    </row>
    <row r="233" spans="1:11" x14ac:dyDescent="0.25">
      <c r="A233" s="378"/>
      <c r="B233" s="379" t="s">
        <v>402</v>
      </c>
      <c r="C233" s="612"/>
      <c r="D233" s="442">
        <f>D230</f>
        <v>863363855.11000001</v>
      </c>
      <c r="E233" s="442">
        <f t="shared" ref="E233:F233" si="132">E230</f>
        <v>838396159</v>
      </c>
      <c r="F233" s="442">
        <f t="shared" si="132"/>
        <v>669172489</v>
      </c>
      <c r="G233" s="382">
        <f t="shared" ref="G233" si="133">D233-E233</f>
        <v>24967696.110000014</v>
      </c>
      <c r="H233" s="280">
        <f t="shared" ref="H233" si="134">IF(F233&gt;E233,1,0)</f>
        <v>0</v>
      </c>
      <c r="I233" s="280">
        <f t="shared" ref="I233" si="135">IF(G233&lt;0,1,0)</f>
        <v>0</v>
      </c>
    </row>
    <row r="234" spans="1:11" ht="145.19999999999999" x14ac:dyDescent="0.25">
      <c r="A234" s="1131"/>
      <c r="B234" s="465" t="s">
        <v>548</v>
      </c>
      <c r="C234" s="145" t="s">
        <v>547</v>
      </c>
      <c r="D234" s="197">
        <f>30000000+40000000</f>
        <v>70000000</v>
      </c>
      <c r="E234" s="182">
        <f>'Прочая  субсидия_МР  и  ГО'!BL38</f>
        <v>70000000</v>
      </c>
      <c r="F234" s="182">
        <f>'Прочая  субсидия_МР  и  ГО'!BM38</f>
        <v>70000000</v>
      </c>
      <c r="G234" s="276">
        <f t="shared" ref="G234:G236" si="136">D234-E234</f>
        <v>0</v>
      </c>
      <c r="H234" s="280">
        <f t="shared" si="130"/>
        <v>0</v>
      </c>
      <c r="I234" s="280">
        <f t="shared" si="131"/>
        <v>0</v>
      </c>
    </row>
    <row r="235" spans="1:11" x14ac:dyDescent="0.25">
      <c r="A235" s="378"/>
      <c r="B235" s="379" t="s">
        <v>161</v>
      </c>
      <c r="C235" s="380"/>
      <c r="D235" s="382"/>
      <c r="E235" s="382"/>
      <c r="F235" s="382"/>
      <c r="G235" s="382">
        <f t="shared" si="136"/>
        <v>0</v>
      </c>
      <c r="H235" s="280">
        <f t="shared" si="130"/>
        <v>0</v>
      </c>
      <c r="I235" s="280">
        <f t="shared" si="131"/>
        <v>0</v>
      </c>
    </row>
    <row r="236" spans="1:11" x14ac:dyDescent="0.25">
      <c r="A236" s="378"/>
      <c r="B236" s="379" t="s">
        <v>162</v>
      </c>
      <c r="C236" s="612"/>
      <c r="D236" s="381"/>
      <c r="E236" s="381"/>
      <c r="F236" s="381"/>
      <c r="G236" s="382">
        <f t="shared" si="136"/>
        <v>0</v>
      </c>
      <c r="H236" s="280">
        <f t="shared" si="130"/>
        <v>0</v>
      </c>
      <c r="I236" s="280">
        <f t="shared" si="131"/>
        <v>0</v>
      </c>
    </row>
    <row r="237" spans="1:11" x14ac:dyDescent="0.25">
      <c r="A237" s="378"/>
      <c r="B237" s="379" t="s">
        <v>402</v>
      </c>
      <c r="C237" s="612"/>
      <c r="D237" s="442">
        <f>D234</f>
        <v>70000000</v>
      </c>
      <c r="E237" s="442">
        <f t="shared" ref="E237:F237" si="137">E234</f>
        <v>70000000</v>
      </c>
      <c r="F237" s="442">
        <f t="shared" si="137"/>
        <v>70000000</v>
      </c>
      <c r="G237" s="382">
        <f t="shared" ref="G237" si="138">D237-E237</f>
        <v>0</v>
      </c>
      <c r="H237" s="280">
        <f t="shared" ref="H237" si="139">IF(F237&gt;E237,1,0)</f>
        <v>0</v>
      </c>
      <c r="I237" s="280">
        <f t="shared" ref="I237" si="140">IF(G237&lt;0,1,0)</f>
        <v>0</v>
      </c>
    </row>
    <row r="238" spans="1:11" x14ac:dyDescent="0.25">
      <c r="A238" s="188"/>
      <c r="B238" s="467"/>
      <c r="C238" s="184"/>
      <c r="D238" s="277"/>
      <c r="E238" s="182"/>
      <c r="F238" s="182"/>
      <c r="G238" s="276"/>
      <c r="H238" s="280"/>
      <c r="I238" s="280"/>
    </row>
    <row r="239" spans="1:11" ht="26.4" x14ac:dyDescent="0.25">
      <c r="A239" s="180" t="s">
        <v>414</v>
      </c>
      <c r="B239" s="247" t="s">
        <v>415</v>
      </c>
      <c r="C239" s="186"/>
      <c r="D239" s="278">
        <f>D244+D247</f>
        <v>12779190.9</v>
      </c>
      <c r="E239" s="278">
        <f t="shared" ref="E239:G239" si="141">E244+E247</f>
        <v>4412190.9000000004</v>
      </c>
      <c r="F239" s="278">
        <f t="shared" si="141"/>
        <v>2494479</v>
      </c>
      <c r="G239" s="278">
        <f t="shared" si="141"/>
        <v>8367000</v>
      </c>
      <c r="H239" s="280">
        <f t="shared" ref="H239:H249" si="142">IF(F239&gt;E239,1,0)</f>
        <v>0</v>
      </c>
      <c r="I239" s="280">
        <f t="shared" si="92"/>
        <v>0</v>
      </c>
    </row>
    <row r="240" spans="1:11" x14ac:dyDescent="0.25">
      <c r="A240" s="370"/>
      <c r="B240" s="371" t="s">
        <v>161</v>
      </c>
      <c r="C240" s="372"/>
      <c r="D240" s="493">
        <f t="shared" ref="D240:G241" si="143">D245+D248</f>
        <v>1917711.9000000004</v>
      </c>
      <c r="E240" s="493">
        <f t="shared" si="143"/>
        <v>1917711.9000000001</v>
      </c>
      <c r="F240" s="493">
        <f t="shared" si="143"/>
        <v>0</v>
      </c>
      <c r="G240" s="493">
        <f t="shared" si="143"/>
        <v>0</v>
      </c>
      <c r="H240" s="280">
        <f t="shared" si="142"/>
        <v>0</v>
      </c>
      <c r="I240" s="280">
        <f t="shared" si="92"/>
        <v>0</v>
      </c>
    </row>
    <row r="241" spans="1:9" x14ac:dyDescent="0.25">
      <c r="A241" s="370"/>
      <c r="B241" s="371" t="s">
        <v>162</v>
      </c>
      <c r="C241" s="372"/>
      <c r="D241" s="493">
        <f t="shared" si="143"/>
        <v>0</v>
      </c>
      <c r="E241" s="493">
        <f t="shared" si="143"/>
        <v>0</v>
      </c>
      <c r="F241" s="493">
        <f t="shared" si="143"/>
        <v>0</v>
      </c>
      <c r="G241" s="493">
        <f t="shared" si="143"/>
        <v>0</v>
      </c>
      <c r="H241" s="280">
        <f t="shared" si="142"/>
        <v>0</v>
      </c>
      <c r="I241" s="280">
        <f t="shared" si="92"/>
        <v>0</v>
      </c>
    </row>
    <row r="242" spans="1:9" x14ac:dyDescent="0.25">
      <c r="A242" s="370"/>
      <c r="B242" s="371" t="s">
        <v>402</v>
      </c>
      <c r="C242" s="372"/>
      <c r="D242" s="493">
        <f>D239-D240-D241</f>
        <v>10861479</v>
      </c>
      <c r="E242" s="493">
        <f t="shared" ref="E242:G242" si="144">E239-E240-E241</f>
        <v>2494479</v>
      </c>
      <c r="F242" s="493">
        <f t="shared" si="144"/>
        <v>2494479</v>
      </c>
      <c r="G242" s="493">
        <f t="shared" si="144"/>
        <v>8367000</v>
      </c>
      <c r="H242" s="280">
        <f t="shared" ref="H242" si="145">IF(F242&gt;E242,1,0)</f>
        <v>0</v>
      </c>
      <c r="I242" s="280">
        <f t="shared" ref="I242" si="146">IF(G242&lt;0,1,0)</f>
        <v>0</v>
      </c>
    </row>
    <row r="243" spans="1:9" x14ac:dyDescent="0.25">
      <c r="A243" s="188"/>
      <c r="B243" s="464" t="s">
        <v>45</v>
      </c>
      <c r="C243" s="184"/>
      <c r="D243" s="277"/>
      <c r="E243" s="182"/>
      <c r="F243" s="182"/>
      <c r="G243" s="276"/>
      <c r="H243" s="280">
        <f t="shared" si="142"/>
        <v>0</v>
      </c>
      <c r="I243" s="280">
        <f t="shared" si="92"/>
        <v>0</v>
      </c>
    </row>
    <row r="244" spans="1:9" ht="171.6" x14ac:dyDescent="0.25">
      <c r="A244" s="188"/>
      <c r="B244" s="465" t="s">
        <v>297</v>
      </c>
      <c r="C244" s="145" t="s">
        <v>233</v>
      </c>
      <c r="D244" s="197">
        <f>7100000-5182288.1</f>
        <v>1917711.9000000004</v>
      </c>
      <c r="E244" s="195">
        <f>'Прочая  субсидия_МР  и  ГО'!BB38</f>
        <v>1917711.9000000001</v>
      </c>
      <c r="F244" s="195">
        <f>'Прочая  субсидия_МР  и  ГО'!BC38</f>
        <v>0</v>
      </c>
      <c r="G244" s="276">
        <f t="shared" ref="G244:G249" si="147">D244-E244</f>
        <v>0</v>
      </c>
      <c r="H244" s="280">
        <f t="shared" si="142"/>
        <v>0</v>
      </c>
      <c r="I244" s="280">
        <f t="shared" si="92"/>
        <v>0</v>
      </c>
    </row>
    <row r="245" spans="1:9" x14ac:dyDescent="0.25">
      <c r="A245" s="378"/>
      <c r="B245" s="379" t="s">
        <v>161</v>
      </c>
      <c r="C245" s="380"/>
      <c r="D245" s="382">
        <f>D244</f>
        <v>1917711.9000000004</v>
      </c>
      <c r="E245" s="382">
        <f>E244</f>
        <v>1917711.9000000001</v>
      </c>
      <c r="F245" s="382">
        <f>F244</f>
        <v>0</v>
      </c>
      <c r="G245" s="382">
        <f t="shared" si="147"/>
        <v>0</v>
      </c>
      <c r="H245" s="280">
        <f t="shared" si="142"/>
        <v>0</v>
      </c>
      <c r="I245" s="280">
        <f t="shared" si="92"/>
        <v>0</v>
      </c>
    </row>
    <row r="246" spans="1:9" x14ac:dyDescent="0.25">
      <c r="A246" s="378"/>
      <c r="B246" s="379" t="s">
        <v>162</v>
      </c>
      <c r="C246" s="380"/>
      <c r="D246" s="382">
        <f>D244-D245</f>
        <v>0</v>
      </c>
      <c r="E246" s="382">
        <f>E244-E245</f>
        <v>0</v>
      </c>
      <c r="F246" s="382">
        <f>F244-F245</f>
        <v>0</v>
      </c>
      <c r="G246" s="382">
        <f t="shared" si="147"/>
        <v>0</v>
      </c>
      <c r="H246" s="280">
        <f t="shared" si="142"/>
        <v>0</v>
      </c>
      <c r="I246" s="280">
        <f t="shared" si="92"/>
        <v>0</v>
      </c>
    </row>
    <row r="247" spans="1:9" ht="158.4" x14ac:dyDescent="0.25">
      <c r="A247" s="188"/>
      <c r="B247" s="465" t="s">
        <v>298</v>
      </c>
      <c r="C247" s="145" t="s">
        <v>241</v>
      </c>
      <c r="D247" s="197">
        <f>20000000-4000000-5138521</f>
        <v>10861479</v>
      </c>
      <c r="E247" s="195">
        <f>'Прочая  субсидия_МР  и  ГО'!BD38</f>
        <v>2494479</v>
      </c>
      <c r="F247" s="195">
        <f>'Прочая  субсидия_МР  и  ГО'!BE38</f>
        <v>2494479</v>
      </c>
      <c r="G247" s="276">
        <f t="shared" si="147"/>
        <v>8367000</v>
      </c>
      <c r="H247" s="280">
        <f t="shared" si="142"/>
        <v>0</v>
      </c>
      <c r="I247" s="280">
        <f t="shared" si="92"/>
        <v>0</v>
      </c>
    </row>
    <row r="248" spans="1:9" x14ac:dyDescent="0.25">
      <c r="A248" s="378"/>
      <c r="B248" s="379" t="s">
        <v>161</v>
      </c>
      <c r="C248" s="380"/>
      <c r="D248" s="382"/>
      <c r="E248" s="382"/>
      <c r="F248" s="382"/>
      <c r="G248" s="382">
        <f t="shared" si="147"/>
        <v>0</v>
      </c>
      <c r="H248" s="280">
        <f t="shared" si="142"/>
        <v>0</v>
      </c>
      <c r="I248" s="280">
        <f t="shared" si="92"/>
        <v>0</v>
      </c>
    </row>
    <row r="249" spans="1:9" x14ac:dyDescent="0.25">
      <c r="A249" s="378"/>
      <c r="B249" s="379" t="s">
        <v>162</v>
      </c>
      <c r="C249" s="380"/>
      <c r="D249" s="382"/>
      <c r="E249" s="382"/>
      <c r="F249" s="382"/>
      <c r="G249" s="382">
        <f t="shared" si="147"/>
        <v>0</v>
      </c>
      <c r="H249" s="280">
        <f t="shared" si="142"/>
        <v>0</v>
      </c>
      <c r="I249" s="280">
        <f t="shared" si="92"/>
        <v>0</v>
      </c>
    </row>
    <row r="250" spans="1:9" x14ac:dyDescent="0.25">
      <c r="A250" s="378"/>
      <c r="B250" s="379" t="s">
        <v>402</v>
      </c>
      <c r="C250" s="380"/>
      <c r="D250" s="382">
        <f>D247</f>
        <v>10861479</v>
      </c>
      <c r="E250" s="382">
        <f t="shared" ref="E250:F250" si="148">E247</f>
        <v>2494479</v>
      </c>
      <c r="F250" s="382">
        <f t="shared" si="148"/>
        <v>2494479</v>
      </c>
      <c r="G250" s="382">
        <f t="shared" ref="G250" si="149">D250-E250</f>
        <v>8367000</v>
      </c>
      <c r="H250" s="280">
        <f t="shared" ref="H250" si="150">IF(F250&gt;E250,1,0)</f>
        <v>0</v>
      </c>
      <c r="I250" s="280">
        <f t="shared" ref="I250" si="151">IF(G250&lt;0,1,0)</f>
        <v>0</v>
      </c>
    </row>
    <row r="251" spans="1:9" x14ac:dyDescent="0.25">
      <c r="A251" s="188"/>
      <c r="B251" s="467"/>
      <c r="C251" s="184"/>
      <c r="D251" s="277"/>
      <c r="E251" s="182"/>
      <c r="F251" s="182"/>
      <c r="G251" s="276"/>
      <c r="H251" s="280"/>
      <c r="I251" s="280">
        <f t="shared" si="92"/>
        <v>0</v>
      </c>
    </row>
    <row r="252" spans="1:9" x14ac:dyDescent="0.25">
      <c r="A252" s="180" t="s">
        <v>58</v>
      </c>
      <c r="B252" s="247" t="s">
        <v>59</v>
      </c>
      <c r="C252" s="186"/>
      <c r="D252" s="278">
        <f>D274+D257+D260+D263+D266+D270</f>
        <v>501127544.39999998</v>
      </c>
      <c r="E252" s="278">
        <f t="shared" ref="E252:G252" si="152">E274+E257+E260+E263+E266+E270</f>
        <v>501127544.39999998</v>
      </c>
      <c r="F252" s="278">
        <f>F274+F257+F260+F263+F266+F270</f>
        <v>115700725.01000001</v>
      </c>
      <c r="G252" s="278">
        <f t="shared" si="152"/>
        <v>0</v>
      </c>
      <c r="H252" s="280">
        <f t="shared" ref="H252:H262" si="153">IF(F252&gt;E252,1,0)</f>
        <v>0</v>
      </c>
      <c r="I252" s="280">
        <f t="shared" si="92"/>
        <v>0</v>
      </c>
    </row>
    <row r="253" spans="1:9" x14ac:dyDescent="0.25">
      <c r="A253" s="370"/>
      <c r="B253" s="371" t="s">
        <v>161</v>
      </c>
      <c r="C253" s="372"/>
      <c r="D253" s="493">
        <f>D275+D258+D261+D264+D267+D271</f>
        <v>89242439.400000006</v>
      </c>
      <c r="E253" s="493">
        <f t="shared" ref="E253:G253" si="154">E275+E258+E261+E264+E267+E271</f>
        <v>89242439.400000006</v>
      </c>
      <c r="F253" s="493">
        <f t="shared" si="154"/>
        <v>53273543.159999996</v>
      </c>
      <c r="G253" s="493">
        <f t="shared" si="154"/>
        <v>0</v>
      </c>
      <c r="H253" s="280">
        <f t="shared" si="153"/>
        <v>0</v>
      </c>
      <c r="I253" s="280">
        <f t="shared" si="92"/>
        <v>0</v>
      </c>
    </row>
    <row r="254" spans="1:9" x14ac:dyDescent="0.25">
      <c r="A254" s="370"/>
      <c r="B254" s="371" t="s">
        <v>162</v>
      </c>
      <c r="C254" s="372"/>
      <c r="D254" s="493">
        <f>D276+D259+D262+D265+D268+D272</f>
        <v>31274999</v>
      </c>
      <c r="E254" s="493">
        <f t="shared" ref="E254:G254" si="155">E276+E259+E262+E265+E268+E272</f>
        <v>31274999</v>
      </c>
      <c r="F254" s="493">
        <f t="shared" si="155"/>
        <v>30609880</v>
      </c>
      <c r="G254" s="493">
        <f t="shared" si="155"/>
        <v>0</v>
      </c>
      <c r="H254" s="280">
        <f t="shared" si="153"/>
        <v>0</v>
      </c>
      <c r="I254" s="280">
        <f t="shared" si="92"/>
        <v>0</v>
      </c>
    </row>
    <row r="255" spans="1:9" x14ac:dyDescent="0.25">
      <c r="A255" s="370"/>
      <c r="B255" s="371" t="s">
        <v>402</v>
      </c>
      <c r="C255" s="372"/>
      <c r="D255" s="493">
        <f>D269+D273</f>
        <v>380610106</v>
      </c>
      <c r="E255" s="493">
        <f t="shared" ref="E255:G255" si="156">E269+E273</f>
        <v>380610106</v>
      </c>
      <c r="F255" s="493">
        <f t="shared" si="156"/>
        <v>31817301.849999998</v>
      </c>
      <c r="G255" s="493">
        <f t="shared" si="156"/>
        <v>0</v>
      </c>
      <c r="H255" s="280">
        <f t="shared" ref="H255" si="157">IF(F255&gt;E255,1,0)</f>
        <v>0</v>
      </c>
      <c r="I255" s="280">
        <f t="shared" ref="I255" si="158">IF(G255&lt;0,1,0)</f>
        <v>0</v>
      </c>
    </row>
    <row r="256" spans="1:9" x14ac:dyDescent="0.25">
      <c r="A256" s="188"/>
      <c r="B256" s="464" t="s">
        <v>45</v>
      </c>
      <c r="C256" s="184"/>
      <c r="D256" s="277"/>
      <c r="E256" s="182"/>
      <c r="F256" s="182"/>
      <c r="G256" s="276"/>
      <c r="H256" s="280">
        <f t="shared" si="153"/>
        <v>0</v>
      </c>
      <c r="I256" s="280">
        <f t="shared" si="92"/>
        <v>0</v>
      </c>
    </row>
    <row r="257" spans="1:10" ht="211.2" x14ac:dyDescent="0.25">
      <c r="A257" s="245"/>
      <c r="B257" s="465" t="s">
        <v>263</v>
      </c>
      <c r="C257" s="145" t="s">
        <v>244</v>
      </c>
      <c r="D257" s="263">
        <v>716500</v>
      </c>
      <c r="E257" s="182">
        <f>'Проверочная  таблица'!DY37</f>
        <v>716500</v>
      </c>
      <c r="F257" s="182">
        <f>'Проверочная  таблица'!EG37</f>
        <v>0</v>
      </c>
      <c r="G257" s="276">
        <f>D257-E257</f>
        <v>0</v>
      </c>
      <c r="H257" s="280">
        <f t="shared" si="153"/>
        <v>0</v>
      </c>
      <c r="I257" s="280">
        <f t="shared" si="92"/>
        <v>0</v>
      </c>
      <c r="J257" s="820">
        <f>D257+D260</f>
        <v>2558856.4</v>
      </c>
    </row>
    <row r="258" spans="1:10" x14ac:dyDescent="0.25">
      <c r="A258" s="378"/>
      <c r="B258" s="379" t="s">
        <v>161</v>
      </c>
      <c r="C258" s="380"/>
      <c r="D258" s="382">
        <f>D257-D259</f>
        <v>716500</v>
      </c>
      <c r="E258" s="382">
        <f>E257-E259</f>
        <v>716500</v>
      </c>
      <c r="F258" s="382">
        <f>F257-F259</f>
        <v>0</v>
      </c>
      <c r="G258" s="382">
        <f>G257-G259</f>
        <v>0</v>
      </c>
      <c r="H258" s="280">
        <f t="shared" si="153"/>
        <v>0</v>
      </c>
      <c r="I258" s="280">
        <f t="shared" si="92"/>
        <v>0</v>
      </c>
    </row>
    <row r="259" spans="1:10" x14ac:dyDescent="0.25">
      <c r="A259" s="378"/>
      <c r="B259" s="379" t="s">
        <v>162</v>
      </c>
      <c r="C259" s="380"/>
      <c r="D259" s="381"/>
      <c r="E259" s="381"/>
      <c r="F259" s="381">
        <v>0</v>
      </c>
      <c r="G259" s="382">
        <f t="shared" ref="G259:G276" si="159">D259-E259</f>
        <v>0</v>
      </c>
      <c r="H259" s="280">
        <f t="shared" si="153"/>
        <v>0</v>
      </c>
      <c r="I259" s="280">
        <f t="shared" si="92"/>
        <v>0</v>
      </c>
    </row>
    <row r="260" spans="1:10" x14ac:dyDescent="0.25">
      <c r="A260" s="689"/>
      <c r="B260" s="690" t="s">
        <v>66</v>
      </c>
      <c r="C260" s="676" t="s">
        <v>244</v>
      </c>
      <c r="D260" s="691">
        <v>1842356.4</v>
      </c>
      <c r="E260" s="688">
        <f>'Проверочная  таблица'!DZ37</f>
        <v>1842356.4</v>
      </c>
      <c r="F260" s="688">
        <f>'Проверочная  таблица'!EH37</f>
        <v>0</v>
      </c>
      <c r="G260" s="692">
        <f t="shared" si="159"/>
        <v>0</v>
      </c>
      <c r="H260" s="280">
        <f t="shared" si="153"/>
        <v>0</v>
      </c>
      <c r="I260" s="280">
        <f t="shared" si="92"/>
        <v>0</v>
      </c>
      <c r="J260" s="824"/>
    </row>
    <row r="261" spans="1:10" x14ac:dyDescent="0.25">
      <c r="A261" s="689"/>
      <c r="B261" s="693" t="s">
        <v>161</v>
      </c>
      <c r="C261" s="694"/>
      <c r="D261" s="692">
        <f>D260-D262</f>
        <v>1842356.4</v>
      </c>
      <c r="E261" s="692">
        <f>E260-E262</f>
        <v>1842356.4</v>
      </c>
      <c r="F261" s="692">
        <f>F260-F262</f>
        <v>0</v>
      </c>
      <c r="G261" s="692">
        <f>G260-G262</f>
        <v>0</v>
      </c>
      <c r="H261" s="280">
        <f t="shared" si="153"/>
        <v>0</v>
      </c>
      <c r="I261" s="280">
        <f t="shared" si="92"/>
        <v>0</v>
      </c>
    </row>
    <row r="262" spans="1:10" x14ac:dyDescent="0.25">
      <c r="A262" s="689"/>
      <c r="B262" s="693" t="s">
        <v>162</v>
      </c>
      <c r="C262" s="694"/>
      <c r="D262" s="695"/>
      <c r="E262" s="695"/>
      <c r="F262" s="695">
        <v>0</v>
      </c>
      <c r="G262" s="692">
        <f>D262-E262</f>
        <v>0</v>
      </c>
      <c r="H262" s="280">
        <f t="shared" si="153"/>
        <v>0</v>
      </c>
      <c r="I262" s="280">
        <f t="shared" si="92"/>
        <v>0</v>
      </c>
    </row>
    <row r="263" spans="1:10" ht="145.19999999999999" x14ac:dyDescent="0.25">
      <c r="A263" s="245"/>
      <c r="B263" s="465" t="s">
        <v>336</v>
      </c>
      <c r="C263" s="145" t="s">
        <v>333</v>
      </c>
      <c r="D263" s="263">
        <v>5283500</v>
      </c>
      <c r="E263" s="182">
        <f>'Проверочная  таблица'!EA37</f>
        <v>5283500</v>
      </c>
      <c r="F263" s="182">
        <f>'Проверочная  таблица'!EI37</f>
        <v>1374242.3</v>
      </c>
      <c r="G263" s="276">
        <f>D263-E263</f>
        <v>0</v>
      </c>
      <c r="H263" s="280">
        <f>IF(F263&gt;E263,1,0)</f>
        <v>0</v>
      </c>
      <c r="I263" s="280">
        <f>IF(G263&lt;0,1,0)</f>
        <v>0</v>
      </c>
    </row>
    <row r="264" spans="1:10" x14ac:dyDescent="0.25">
      <c r="A264" s="378"/>
      <c r="B264" s="379" t="s">
        <v>161</v>
      </c>
      <c r="C264" s="380"/>
      <c r="D264" s="382">
        <f>D263-D265</f>
        <v>5283500</v>
      </c>
      <c r="E264" s="382">
        <f>E263-E265</f>
        <v>5283500</v>
      </c>
      <c r="F264" s="382">
        <f>F263-F265</f>
        <v>1374242.3</v>
      </c>
      <c r="G264" s="382">
        <f>G263-G265</f>
        <v>0</v>
      </c>
      <c r="H264" s="280">
        <f>IF(F264&gt;E264,1,0)</f>
        <v>0</v>
      </c>
      <c r="I264" s="280">
        <f>IF(G264&lt;0,1,0)</f>
        <v>0</v>
      </c>
    </row>
    <row r="265" spans="1:10" x14ac:dyDescent="0.25">
      <c r="A265" s="378"/>
      <c r="B265" s="379" t="s">
        <v>162</v>
      </c>
      <c r="C265" s="380"/>
      <c r="D265" s="381"/>
      <c r="E265" s="381"/>
      <c r="F265" s="381">
        <v>0</v>
      </c>
      <c r="G265" s="382">
        <f>D265-E265</f>
        <v>0</v>
      </c>
      <c r="H265" s="280">
        <f>IF(F265&gt;E265,1,0)</f>
        <v>0</v>
      </c>
      <c r="I265" s="280">
        <f>IF(G265&lt;0,1,0)</f>
        <v>0</v>
      </c>
    </row>
    <row r="266" spans="1:10" ht="171.6" x14ac:dyDescent="0.25">
      <c r="A266" s="1135"/>
      <c r="B266" s="463" t="s">
        <v>586</v>
      </c>
      <c r="C266" s="145" t="s">
        <v>585</v>
      </c>
      <c r="D266" s="962">
        <v>19030506</v>
      </c>
      <c r="E266" s="436">
        <f>'Проверочная  таблица'!FP37</f>
        <v>19030506</v>
      </c>
      <c r="F266" s="436">
        <f>'Проверочная  таблица'!FS37</f>
        <v>1590865.15</v>
      </c>
      <c r="G266" s="276">
        <f t="shared" ref="G266" si="160">D266-E266</f>
        <v>0</v>
      </c>
      <c r="H266" s="280">
        <f t="shared" ref="H266:H268" si="161">IF(F266&gt;E266,1,0)</f>
        <v>0</v>
      </c>
      <c r="I266" s="280">
        <f t="shared" ref="I266:I268" si="162">IF(G266&lt;0,1,0)</f>
        <v>0</v>
      </c>
      <c r="J266" s="820">
        <f>D266+D270</f>
        <v>380610106</v>
      </c>
    </row>
    <row r="267" spans="1:10" x14ac:dyDescent="0.25">
      <c r="A267" s="378"/>
      <c r="B267" s="379" t="s">
        <v>161</v>
      </c>
      <c r="C267" s="380"/>
      <c r="D267" s="382"/>
      <c r="E267" s="382"/>
      <c r="F267" s="382"/>
      <c r="G267" s="382"/>
      <c r="H267" s="280">
        <f t="shared" si="161"/>
        <v>0</v>
      </c>
      <c r="I267" s="280">
        <f t="shared" si="162"/>
        <v>0</v>
      </c>
    </row>
    <row r="268" spans="1:10" x14ac:dyDescent="0.25">
      <c r="A268" s="378"/>
      <c r="B268" s="379" t="s">
        <v>162</v>
      </c>
      <c r="C268" s="380"/>
      <c r="D268" s="382"/>
      <c r="E268" s="382"/>
      <c r="F268" s="382"/>
      <c r="G268" s="382"/>
      <c r="H268" s="280">
        <f t="shared" si="161"/>
        <v>0</v>
      </c>
      <c r="I268" s="280">
        <f t="shared" si="162"/>
        <v>0</v>
      </c>
    </row>
    <row r="269" spans="1:10" x14ac:dyDescent="0.25">
      <c r="A269" s="378"/>
      <c r="B269" s="379" t="s">
        <v>402</v>
      </c>
      <c r="C269" s="380"/>
      <c r="D269" s="382">
        <f>D266</f>
        <v>19030506</v>
      </c>
      <c r="E269" s="382">
        <f t="shared" ref="E269:G269" si="163">E266</f>
        <v>19030506</v>
      </c>
      <c r="F269" s="382">
        <f t="shared" si="163"/>
        <v>1590865.15</v>
      </c>
      <c r="G269" s="382">
        <f t="shared" si="163"/>
        <v>0</v>
      </c>
      <c r="H269" s="280">
        <f t="shared" ref="H269:H272" si="164">IF(F269&gt;E269,1,0)</f>
        <v>0</v>
      </c>
      <c r="I269" s="280">
        <f t="shared" ref="I269:I272" si="165">IF(G269&lt;0,1,0)</f>
        <v>0</v>
      </c>
    </row>
    <row r="270" spans="1:10" x14ac:dyDescent="0.25">
      <c r="A270" s="689"/>
      <c r="B270" s="690" t="s">
        <v>66</v>
      </c>
      <c r="C270" s="676" t="s">
        <v>585</v>
      </c>
      <c r="D270" s="691">
        <v>361579600</v>
      </c>
      <c r="E270" s="1033">
        <f>'Проверочная  таблица'!FQ37</f>
        <v>361579600</v>
      </c>
      <c r="F270" s="1033">
        <f>'Проверочная  таблица'!FT37</f>
        <v>30226436.699999999</v>
      </c>
      <c r="G270" s="692">
        <f>D270-E270</f>
        <v>0</v>
      </c>
      <c r="H270" s="280">
        <f t="shared" si="164"/>
        <v>0</v>
      </c>
      <c r="I270" s="280">
        <f t="shared" si="165"/>
        <v>0</v>
      </c>
    </row>
    <row r="271" spans="1:10" x14ac:dyDescent="0.25">
      <c r="A271" s="689"/>
      <c r="B271" s="693" t="s">
        <v>161</v>
      </c>
      <c r="C271" s="694"/>
      <c r="D271" s="692"/>
      <c r="E271" s="692"/>
      <c r="F271" s="692"/>
      <c r="G271" s="692"/>
      <c r="H271" s="280">
        <f t="shared" si="164"/>
        <v>0</v>
      </c>
      <c r="I271" s="280">
        <f t="shared" si="165"/>
        <v>0</v>
      </c>
    </row>
    <row r="272" spans="1:10" x14ac:dyDescent="0.25">
      <c r="A272" s="689"/>
      <c r="B272" s="693" t="s">
        <v>162</v>
      </c>
      <c r="C272" s="694"/>
      <c r="D272" s="692"/>
      <c r="E272" s="692"/>
      <c r="F272" s="692"/>
      <c r="G272" s="692"/>
      <c r="H272" s="280">
        <f t="shared" si="164"/>
        <v>0</v>
      </c>
      <c r="I272" s="280">
        <f t="shared" si="165"/>
        <v>0</v>
      </c>
    </row>
    <row r="273" spans="1:10" x14ac:dyDescent="0.25">
      <c r="A273" s="689"/>
      <c r="B273" s="693" t="s">
        <v>402</v>
      </c>
      <c r="C273" s="694"/>
      <c r="D273" s="692">
        <f>D270</f>
        <v>361579600</v>
      </c>
      <c r="E273" s="692">
        <f>E270</f>
        <v>361579600</v>
      </c>
      <c r="F273" s="692">
        <f>F270</f>
        <v>30226436.699999999</v>
      </c>
      <c r="G273" s="692">
        <f>G270</f>
        <v>0</v>
      </c>
      <c r="H273" s="280">
        <f>IF(F273&gt;E273,1,0)</f>
        <v>0</v>
      </c>
      <c r="I273" s="280">
        <f>IF(G273&lt;0,1,0)</f>
        <v>0</v>
      </c>
      <c r="J273" s="824"/>
    </row>
    <row r="274" spans="1:10" ht="171.6" x14ac:dyDescent="0.25">
      <c r="A274" s="188"/>
      <c r="B274" s="465" t="s">
        <v>249</v>
      </c>
      <c r="C274" s="145" t="s">
        <v>220</v>
      </c>
      <c r="D274" s="275">
        <v>112675082</v>
      </c>
      <c r="E274" s="436">
        <f>D274</f>
        <v>112675082</v>
      </c>
      <c r="F274" s="383">
        <v>82509180.859999999</v>
      </c>
      <c r="G274" s="276">
        <f t="shared" si="159"/>
        <v>0</v>
      </c>
      <c r="H274" s="280">
        <f>IF(F274&gt;E274,1,0)</f>
        <v>0</v>
      </c>
      <c r="I274" s="280">
        <f t="shared" si="92"/>
        <v>0</v>
      </c>
    </row>
    <row r="275" spans="1:10" x14ac:dyDescent="0.25">
      <c r="A275" s="378"/>
      <c r="B275" s="379" t="s">
        <v>161</v>
      </c>
      <c r="C275" s="380"/>
      <c r="D275" s="382">
        <f>D274-D276</f>
        <v>81400083</v>
      </c>
      <c r="E275" s="382">
        <f>E274-E276</f>
        <v>81400083</v>
      </c>
      <c r="F275" s="382">
        <f>F274-F276</f>
        <v>51899300.859999999</v>
      </c>
      <c r="G275" s="382">
        <f t="shared" si="159"/>
        <v>0</v>
      </c>
      <c r="H275" s="280">
        <f t="shared" ref="H275:H300" si="166">IF(F275&gt;E275,1,0)</f>
        <v>0</v>
      </c>
      <c r="I275" s="280">
        <f t="shared" si="92"/>
        <v>0</v>
      </c>
    </row>
    <row r="276" spans="1:10" x14ac:dyDescent="0.25">
      <c r="A276" s="378"/>
      <c r="B276" s="379" t="s">
        <v>162</v>
      </c>
      <c r="C276" s="380"/>
      <c r="D276" s="381">
        <v>31274999</v>
      </c>
      <c r="E276" s="442">
        <f>D276</f>
        <v>31274999</v>
      </c>
      <c r="F276" s="381">
        <v>30609880</v>
      </c>
      <c r="G276" s="382">
        <f t="shared" si="159"/>
        <v>0</v>
      </c>
      <c r="H276" s="280">
        <f t="shared" si="166"/>
        <v>0</v>
      </c>
      <c r="I276" s="280">
        <f t="shared" si="92"/>
        <v>0</v>
      </c>
    </row>
    <row r="277" spans="1:10" x14ac:dyDescent="0.25">
      <c r="A277" s="188"/>
      <c r="B277" s="185"/>
      <c r="C277" s="184"/>
      <c r="D277" s="277"/>
      <c r="E277" s="182"/>
      <c r="F277" s="182"/>
      <c r="G277" s="276"/>
      <c r="H277" s="280">
        <f t="shared" si="166"/>
        <v>0</v>
      </c>
      <c r="I277" s="280">
        <f t="shared" si="92"/>
        <v>0</v>
      </c>
    </row>
    <row r="278" spans="1:10" x14ac:dyDescent="0.25">
      <c r="A278" s="180" t="s">
        <v>85</v>
      </c>
      <c r="B278" s="247" t="s">
        <v>123</v>
      </c>
      <c r="C278" s="186"/>
      <c r="D278" s="278">
        <f>D292+D317+D301+D295+D298+D305+D283+D286+D289+D309+D313</f>
        <v>977747598.10000002</v>
      </c>
      <c r="E278" s="278">
        <f t="shared" ref="E278:G278" si="167">E292+E317+E301+E295+E298+E305+E283+E286+E289+E309+E313</f>
        <v>977747598.10000002</v>
      </c>
      <c r="F278" s="278">
        <f t="shared" si="167"/>
        <v>644852563.56999993</v>
      </c>
      <c r="G278" s="278">
        <f t="shared" si="167"/>
        <v>0</v>
      </c>
      <c r="H278" s="280">
        <f t="shared" si="166"/>
        <v>0</v>
      </c>
      <c r="I278" s="280">
        <f t="shared" si="92"/>
        <v>0</v>
      </c>
    </row>
    <row r="279" spans="1:10" x14ac:dyDescent="0.25">
      <c r="A279" s="370"/>
      <c r="B279" s="371" t="s">
        <v>161</v>
      </c>
      <c r="C279" s="372"/>
      <c r="D279" s="493">
        <f>D293+D318+D302+D296+D299+D306+D284+D287+D290+D310+D314</f>
        <v>346370183.40000004</v>
      </c>
      <c r="E279" s="493">
        <f t="shared" ref="E279:G279" si="168">E293+E318+E302+E296+E299+E306+E284+E287+E290+E310+E314</f>
        <v>346370183.40000004</v>
      </c>
      <c r="F279" s="493">
        <f t="shared" si="168"/>
        <v>258526100</v>
      </c>
      <c r="G279" s="493">
        <f t="shared" si="168"/>
        <v>0</v>
      </c>
      <c r="H279" s="280">
        <f t="shared" si="166"/>
        <v>0</v>
      </c>
      <c r="I279" s="280">
        <f t="shared" si="92"/>
        <v>0</v>
      </c>
    </row>
    <row r="280" spans="1:10" x14ac:dyDescent="0.25">
      <c r="A280" s="370"/>
      <c r="B280" s="371" t="s">
        <v>162</v>
      </c>
      <c r="C280" s="372"/>
      <c r="D280" s="493">
        <f>D294+D319+D303+D297+D300+D307+D285+D288+D291+D311+D315</f>
        <v>180272547</v>
      </c>
      <c r="E280" s="493">
        <f t="shared" ref="E280:G280" si="169">E294+E319+E303+E297+E300+E307+E285+E288+E291+E311+E315</f>
        <v>180272547</v>
      </c>
      <c r="F280" s="493">
        <f t="shared" si="169"/>
        <v>151138838</v>
      </c>
      <c r="G280" s="493">
        <f t="shared" si="169"/>
        <v>0</v>
      </c>
      <c r="H280" s="280">
        <f t="shared" si="166"/>
        <v>0</v>
      </c>
      <c r="I280" s="280">
        <f t="shared" si="92"/>
        <v>0</v>
      </c>
    </row>
    <row r="281" spans="1:10" x14ac:dyDescent="0.25">
      <c r="A281" s="370"/>
      <c r="B281" s="371" t="s">
        <v>402</v>
      </c>
      <c r="C281" s="372"/>
      <c r="D281" s="493">
        <f>D278-D279-D280</f>
        <v>451104867.70000005</v>
      </c>
      <c r="E281" s="493">
        <f t="shared" ref="E281:G281" si="170">E278-E279-E280</f>
        <v>451104867.70000005</v>
      </c>
      <c r="F281" s="493">
        <f t="shared" si="170"/>
        <v>235187625.56999993</v>
      </c>
      <c r="G281" s="493">
        <f t="shared" si="170"/>
        <v>0</v>
      </c>
      <c r="H281" s="280">
        <f t="shared" si="166"/>
        <v>0</v>
      </c>
      <c r="I281" s="280">
        <f t="shared" si="92"/>
        <v>0</v>
      </c>
    </row>
    <row r="282" spans="1:10" x14ac:dyDescent="0.25">
      <c r="A282" s="188"/>
      <c r="B282" s="464" t="s">
        <v>45</v>
      </c>
      <c r="C282" s="184"/>
      <c r="D282" s="277"/>
      <c r="E282" s="182"/>
      <c r="F282" s="182"/>
      <c r="G282" s="276"/>
      <c r="H282" s="280">
        <f t="shared" si="166"/>
        <v>0</v>
      </c>
      <c r="I282" s="280">
        <f t="shared" si="92"/>
        <v>0</v>
      </c>
    </row>
    <row r="283" spans="1:10" ht="237.6" x14ac:dyDescent="0.25">
      <c r="A283" s="188"/>
      <c r="B283" s="463" t="s">
        <v>380</v>
      </c>
      <c r="C283" s="145" t="s">
        <v>379</v>
      </c>
      <c r="D283" s="275">
        <v>4720000</v>
      </c>
      <c r="E283" s="195">
        <f>'Проверочная  таблица'!DV37</f>
        <v>4720000</v>
      </c>
      <c r="F283" s="195">
        <f>'Проверочная  таблица'!ED37</f>
        <v>2022579.8599999999</v>
      </c>
      <c r="G283" s="276">
        <f>D283-E283</f>
        <v>0</v>
      </c>
      <c r="H283" s="280">
        <f>IF(F283&gt;E283,1,0)</f>
        <v>0</v>
      </c>
      <c r="I283" s="280">
        <f>IF(G283&lt;0,1,0)</f>
        <v>0</v>
      </c>
    </row>
    <row r="284" spans="1:10" x14ac:dyDescent="0.25">
      <c r="A284" s="378"/>
      <c r="B284" s="379" t="s">
        <v>161</v>
      </c>
      <c r="C284" s="380"/>
      <c r="D284" s="382">
        <f>D283</f>
        <v>4720000</v>
      </c>
      <c r="E284" s="382">
        <f>E283</f>
        <v>4720000</v>
      </c>
      <c r="F284" s="382">
        <f>F283</f>
        <v>2022579.8599999999</v>
      </c>
      <c r="G284" s="382">
        <f>D284-E284</f>
        <v>0</v>
      </c>
      <c r="H284" s="280">
        <f>IF(F284&gt;E284,1,0)</f>
        <v>0</v>
      </c>
      <c r="I284" s="280">
        <f>IF(G284&lt;0,1,0)</f>
        <v>0</v>
      </c>
    </row>
    <row r="285" spans="1:10" x14ac:dyDescent="0.25">
      <c r="A285" s="378"/>
      <c r="B285" s="379" t="s">
        <v>162</v>
      </c>
      <c r="C285" s="380"/>
      <c r="D285" s="382">
        <f>D283-D284</f>
        <v>0</v>
      </c>
      <c r="E285" s="382">
        <f>E283-E284</f>
        <v>0</v>
      </c>
      <c r="F285" s="382">
        <f>F283-F284</f>
        <v>0</v>
      </c>
      <c r="G285" s="382">
        <f>D285-E285</f>
        <v>0</v>
      </c>
      <c r="H285" s="280">
        <f>IF(F285&gt;E285,1,0)</f>
        <v>0</v>
      </c>
      <c r="I285" s="280">
        <f>IF(G285&lt;0,1,0)</f>
        <v>0</v>
      </c>
    </row>
    <row r="286" spans="1:10" ht="290.39999999999998" x14ac:dyDescent="0.25">
      <c r="A286" s="1100"/>
      <c r="B286" s="463" t="s">
        <v>413</v>
      </c>
      <c r="C286" s="145" t="s">
        <v>412</v>
      </c>
      <c r="D286" s="275">
        <v>280000</v>
      </c>
      <c r="E286" s="195">
        <f>'Проверочная  таблица'!DW37</f>
        <v>280000</v>
      </c>
      <c r="F286" s="195">
        <f>'Проверочная  таблица'!EE37</f>
        <v>0</v>
      </c>
      <c r="G286" s="276">
        <f t="shared" ref="G286:G289" si="171">D286-E286</f>
        <v>0</v>
      </c>
      <c r="H286" s="280">
        <f t="shared" ref="H286:H291" si="172">IF(F286&gt;E286,1,0)</f>
        <v>0</v>
      </c>
      <c r="I286" s="280">
        <f t="shared" ref="I286:I291" si="173">IF(G286&lt;0,1,0)</f>
        <v>0</v>
      </c>
      <c r="J286" s="820">
        <f>D286+D289</f>
        <v>999971.8</v>
      </c>
    </row>
    <row r="287" spans="1:10" x14ac:dyDescent="0.25">
      <c r="A287" s="378"/>
      <c r="B287" s="379" t="s">
        <v>161</v>
      </c>
      <c r="C287" s="380"/>
      <c r="D287" s="382">
        <f>D286</f>
        <v>280000</v>
      </c>
      <c r="E287" s="382">
        <f>E286</f>
        <v>280000</v>
      </c>
      <c r="F287" s="382">
        <f>F286</f>
        <v>0</v>
      </c>
      <c r="G287" s="382">
        <f t="shared" si="171"/>
        <v>0</v>
      </c>
      <c r="H287" s="280">
        <f t="shared" si="172"/>
        <v>0</v>
      </c>
      <c r="I287" s="280">
        <f t="shared" si="173"/>
        <v>0</v>
      </c>
    </row>
    <row r="288" spans="1:10" x14ac:dyDescent="0.25">
      <c r="A288" s="378"/>
      <c r="B288" s="379" t="s">
        <v>162</v>
      </c>
      <c r="C288" s="380"/>
      <c r="D288" s="382">
        <f>D286-D287</f>
        <v>0</v>
      </c>
      <c r="E288" s="382">
        <f>E286-E287</f>
        <v>0</v>
      </c>
      <c r="F288" s="382">
        <f>F286-F287</f>
        <v>0</v>
      </c>
      <c r="G288" s="382">
        <f t="shared" si="171"/>
        <v>0</v>
      </c>
      <c r="H288" s="280">
        <f t="shared" si="172"/>
        <v>0</v>
      </c>
      <c r="I288" s="280">
        <f t="shared" si="173"/>
        <v>0</v>
      </c>
    </row>
    <row r="289" spans="1:10" x14ac:dyDescent="0.25">
      <c r="A289" s="689"/>
      <c r="B289" s="690" t="s">
        <v>66</v>
      </c>
      <c r="C289" s="676" t="s">
        <v>412</v>
      </c>
      <c r="D289" s="691">
        <v>719971.8</v>
      </c>
      <c r="E289" s="688">
        <f>'Проверочная  таблица'!DX37</f>
        <v>719971.8</v>
      </c>
      <c r="F289" s="688">
        <f>'Проверочная  таблица'!EF37</f>
        <v>0</v>
      </c>
      <c r="G289" s="692">
        <f t="shared" si="171"/>
        <v>0</v>
      </c>
      <c r="H289" s="280">
        <f t="shared" si="172"/>
        <v>0</v>
      </c>
      <c r="I289" s="280">
        <f t="shared" si="173"/>
        <v>0</v>
      </c>
    </row>
    <row r="290" spans="1:10" x14ac:dyDescent="0.25">
      <c r="A290" s="689"/>
      <c r="B290" s="693" t="s">
        <v>161</v>
      </c>
      <c r="C290" s="694"/>
      <c r="D290" s="692">
        <f>D289</f>
        <v>719971.8</v>
      </c>
      <c r="E290" s="692">
        <f>E289</f>
        <v>719971.8</v>
      </c>
      <c r="F290" s="692">
        <f>F289</f>
        <v>0</v>
      </c>
      <c r="G290" s="692">
        <f>D290-E290</f>
        <v>0</v>
      </c>
      <c r="H290" s="280">
        <f t="shared" si="172"/>
        <v>0</v>
      </c>
      <c r="I290" s="280">
        <f t="shared" si="173"/>
        <v>0</v>
      </c>
    </row>
    <row r="291" spans="1:10" x14ac:dyDescent="0.25">
      <c r="A291" s="689"/>
      <c r="B291" s="693" t="s">
        <v>162</v>
      </c>
      <c r="C291" s="694"/>
      <c r="D291" s="692">
        <f>D289-D290</f>
        <v>0</v>
      </c>
      <c r="E291" s="692">
        <f>E289-E290</f>
        <v>0</v>
      </c>
      <c r="F291" s="692">
        <f>F289-F290</f>
        <v>0</v>
      </c>
      <c r="G291" s="692">
        <f>D291-E291</f>
        <v>0</v>
      </c>
      <c r="H291" s="280">
        <f t="shared" si="172"/>
        <v>0</v>
      </c>
      <c r="I291" s="280">
        <f t="shared" si="173"/>
        <v>0</v>
      </c>
    </row>
    <row r="292" spans="1:10" ht="118.8" x14ac:dyDescent="0.25">
      <c r="A292" s="188"/>
      <c r="B292" s="463" t="s">
        <v>251</v>
      </c>
      <c r="C292" s="145" t="s">
        <v>224</v>
      </c>
      <c r="D292" s="275">
        <v>103550000</v>
      </c>
      <c r="E292" s="195">
        <f>'Прочая  субсидия_МР  и  ГО'!H33</f>
        <v>103550000</v>
      </c>
      <c r="F292" s="195">
        <f>'Прочая  субсидия_МР  и  ГО'!I33</f>
        <v>91932320.929999992</v>
      </c>
      <c r="G292" s="276">
        <f t="shared" ref="G292:G304" si="174">D292-E292</f>
        <v>0</v>
      </c>
      <c r="H292" s="280">
        <f t="shared" si="166"/>
        <v>0</v>
      </c>
      <c r="I292" s="280">
        <f t="shared" si="92"/>
        <v>0</v>
      </c>
    </row>
    <row r="293" spans="1:10" x14ac:dyDescent="0.25">
      <c r="A293" s="378"/>
      <c r="B293" s="379" t="s">
        <v>161</v>
      </c>
      <c r="C293" s="380"/>
      <c r="D293" s="382">
        <f>D292</f>
        <v>103550000</v>
      </c>
      <c r="E293" s="382">
        <f>E292</f>
        <v>103550000</v>
      </c>
      <c r="F293" s="382">
        <f>F292</f>
        <v>91932320.929999992</v>
      </c>
      <c r="G293" s="382">
        <f t="shared" si="174"/>
        <v>0</v>
      </c>
      <c r="H293" s="280">
        <f t="shared" si="166"/>
        <v>0</v>
      </c>
      <c r="I293" s="280">
        <f t="shared" si="92"/>
        <v>0</v>
      </c>
    </row>
    <row r="294" spans="1:10" x14ac:dyDescent="0.25">
      <c r="A294" s="378"/>
      <c r="B294" s="379" t="s">
        <v>162</v>
      </c>
      <c r="C294" s="380"/>
      <c r="D294" s="382">
        <f>D292-D293</f>
        <v>0</v>
      </c>
      <c r="E294" s="382">
        <f>E292-E293</f>
        <v>0</v>
      </c>
      <c r="F294" s="382">
        <f>F292-F293</f>
        <v>0</v>
      </c>
      <c r="G294" s="382">
        <f t="shared" si="174"/>
        <v>0</v>
      </c>
      <c r="H294" s="280">
        <f t="shared" si="166"/>
        <v>0</v>
      </c>
      <c r="I294" s="280">
        <f t="shared" si="92"/>
        <v>0</v>
      </c>
    </row>
    <row r="295" spans="1:10" ht="105.6" x14ac:dyDescent="0.25">
      <c r="A295" s="188"/>
      <c r="B295" s="463" t="s">
        <v>584</v>
      </c>
      <c r="C295" s="145" t="s">
        <v>580</v>
      </c>
      <c r="D295" s="275">
        <v>2341384</v>
      </c>
      <c r="E295" s="195">
        <f>'Проверочная  таблица'!ET37</f>
        <v>2341384</v>
      </c>
      <c r="F295" s="195">
        <f>'Проверочная  таблица'!EW37</f>
        <v>0</v>
      </c>
      <c r="G295" s="276">
        <f t="shared" si="174"/>
        <v>0</v>
      </c>
      <c r="H295" s="280">
        <f t="shared" si="166"/>
        <v>0</v>
      </c>
      <c r="I295" s="280">
        <f t="shared" si="92"/>
        <v>0</v>
      </c>
      <c r="J295" s="820">
        <f>D295+D298</f>
        <v>8362084</v>
      </c>
    </row>
    <row r="296" spans="1:10" x14ac:dyDescent="0.25">
      <c r="A296" s="378"/>
      <c r="B296" s="379" t="s">
        <v>161</v>
      </c>
      <c r="C296" s="380"/>
      <c r="D296" s="382">
        <f>D295</f>
        <v>2341384</v>
      </c>
      <c r="E296" s="382">
        <f>E295</f>
        <v>2341384</v>
      </c>
      <c r="F296" s="382">
        <f>F295</f>
        <v>0</v>
      </c>
      <c r="G296" s="382">
        <f t="shared" si="174"/>
        <v>0</v>
      </c>
      <c r="H296" s="280">
        <f t="shared" si="166"/>
        <v>0</v>
      </c>
      <c r="I296" s="280">
        <f t="shared" si="92"/>
        <v>0</v>
      </c>
    </row>
    <row r="297" spans="1:10" x14ac:dyDescent="0.25">
      <c r="A297" s="378"/>
      <c r="B297" s="379" t="s">
        <v>162</v>
      </c>
      <c r="C297" s="380"/>
      <c r="D297" s="382">
        <f>D295-D296</f>
        <v>0</v>
      </c>
      <c r="E297" s="382">
        <f>E295-E296</f>
        <v>0</v>
      </c>
      <c r="F297" s="382">
        <f>F295-F296</f>
        <v>0</v>
      </c>
      <c r="G297" s="382">
        <f t="shared" si="174"/>
        <v>0</v>
      </c>
      <c r="H297" s="280">
        <f t="shared" si="166"/>
        <v>0</v>
      </c>
      <c r="I297" s="280">
        <f t="shared" si="92"/>
        <v>0</v>
      </c>
    </row>
    <row r="298" spans="1:10" x14ac:dyDescent="0.25">
      <c r="A298" s="689"/>
      <c r="B298" s="690" t="s">
        <v>66</v>
      </c>
      <c r="C298" s="676" t="s">
        <v>580</v>
      </c>
      <c r="D298" s="691">
        <v>6020700</v>
      </c>
      <c r="E298" s="688">
        <f>'Проверочная  таблица'!EU37</f>
        <v>6020700</v>
      </c>
      <c r="F298" s="688">
        <f>'Проверочная  таблица'!EX37</f>
        <v>0</v>
      </c>
      <c r="G298" s="692">
        <f t="shared" si="174"/>
        <v>0</v>
      </c>
      <c r="H298" s="280">
        <f t="shared" si="166"/>
        <v>0</v>
      </c>
      <c r="I298" s="280">
        <f t="shared" si="92"/>
        <v>0</v>
      </c>
    </row>
    <row r="299" spans="1:10" x14ac:dyDescent="0.25">
      <c r="A299" s="689"/>
      <c r="B299" s="693" t="s">
        <v>161</v>
      </c>
      <c r="C299" s="694"/>
      <c r="D299" s="692">
        <f>D298</f>
        <v>6020700</v>
      </c>
      <c r="E299" s="692">
        <f>E298</f>
        <v>6020700</v>
      </c>
      <c r="F299" s="692">
        <f>F298</f>
        <v>0</v>
      </c>
      <c r="G299" s="692">
        <f>D299-E299</f>
        <v>0</v>
      </c>
      <c r="H299" s="280">
        <f t="shared" si="166"/>
        <v>0</v>
      </c>
      <c r="I299" s="280">
        <f t="shared" si="92"/>
        <v>0</v>
      </c>
    </row>
    <row r="300" spans="1:10" x14ac:dyDescent="0.25">
      <c r="A300" s="689"/>
      <c r="B300" s="693" t="s">
        <v>162</v>
      </c>
      <c r="C300" s="694"/>
      <c r="D300" s="692">
        <f>D298-D299</f>
        <v>0</v>
      </c>
      <c r="E300" s="692">
        <f>E298-E299</f>
        <v>0</v>
      </c>
      <c r="F300" s="692">
        <f>F298-F299</f>
        <v>0</v>
      </c>
      <c r="G300" s="692">
        <f>D300-E300</f>
        <v>0</v>
      </c>
      <c r="H300" s="280">
        <f t="shared" si="166"/>
        <v>0</v>
      </c>
      <c r="I300" s="280">
        <f t="shared" si="92"/>
        <v>0</v>
      </c>
    </row>
    <row r="301" spans="1:10" ht="92.4" x14ac:dyDescent="0.25">
      <c r="A301" s="188"/>
      <c r="B301" s="463" t="s">
        <v>579</v>
      </c>
      <c r="C301" s="145" t="s">
        <v>577</v>
      </c>
      <c r="D301" s="275">
        <v>110018600</v>
      </c>
      <c r="E301" s="195">
        <f>'Проверочная  таблица'!JZ37</f>
        <v>110018600</v>
      </c>
      <c r="F301" s="195">
        <f>'Проверочная  таблица'!KE37</f>
        <v>63189461.780000001</v>
      </c>
      <c r="G301" s="276">
        <f t="shared" si="174"/>
        <v>0</v>
      </c>
      <c r="H301" s="280">
        <f t="shared" ref="H301:H307" si="175">IF(F301&gt;E301,1,0)</f>
        <v>0</v>
      </c>
      <c r="I301" s="280">
        <f t="shared" si="92"/>
        <v>0</v>
      </c>
      <c r="J301" s="820">
        <f>D301+D305</f>
        <v>392923600</v>
      </c>
    </row>
    <row r="302" spans="1:10" x14ac:dyDescent="0.25">
      <c r="A302" s="378"/>
      <c r="B302" s="379" t="s">
        <v>161</v>
      </c>
      <c r="C302" s="380"/>
      <c r="D302" s="382"/>
      <c r="E302" s="382"/>
      <c r="F302" s="382"/>
      <c r="G302" s="382">
        <f t="shared" si="174"/>
        <v>0</v>
      </c>
      <c r="H302" s="280">
        <f t="shared" si="175"/>
        <v>0</v>
      </c>
      <c r="I302" s="280">
        <f t="shared" si="92"/>
        <v>0</v>
      </c>
    </row>
    <row r="303" spans="1:10" x14ac:dyDescent="0.25">
      <c r="A303" s="378"/>
      <c r="B303" s="379" t="s">
        <v>162</v>
      </c>
      <c r="C303" s="380"/>
      <c r="D303" s="382"/>
      <c r="E303" s="382"/>
      <c r="F303" s="382"/>
      <c r="G303" s="382">
        <f t="shared" si="174"/>
        <v>0</v>
      </c>
      <c r="H303" s="280">
        <f t="shared" si="175"/>
        <v>0</v>
      </c>
      <c r="I303" s="280">
        <f t="shared" si="92"/>
        <v>0</v>
      </c>
    </row>
    <row r="304" spans="1:10" x14ac:dyDescent="0.25">
      <c r="A304" s="378"/>
      <c r="B304" s="379" t="s">
        <v>402</v>
      </c>
      <c r="C304" s="380"/>
      <c r="D304" s="382">
        <f>D301-D302-D303</f>
        <v>110018600</v>
      </c>
      <c r="E304" s="382">
        <f t="shared" ref="E304:F304" si="176">E301-E302-E303</f>
        <v>110018600</v>
      </c>
      <c r="F304" s="382">
        <f t="shared" si="176"/>
        <v>63189461.780000001</v>
      </c>
      <c r="G304" s="382">
        <f t="shared" si="174"/>
        <v>0</v>
      </c>
      <c r="H304" s="280">
        <f t="shared" ref="H304" si="177">IF(F304&gt;E304,1,0)</f>
        <v>0</v>
      </c>
      <c r="I304" s="280">
        <f t="shared" ref="I304" si="178">IF(G304&lt;0,1,0)</f>
        <v>0</v>
      </c>
    </row>
    <row r="305" spans="1:10" x14ac:dyDescent="0.25">
      <c r="A305" s="689"/>
      <c r="B305" s="690" t="s">
        <v>66</v>
      </c>
      <c r="C305" s="676" t="s">
        <v>577</v>
      </c>
      <c r="D305" s="960">
        <v>282905000</v>
      </c>
      <c r="E305" s="688">
        <f>'Проверочная  таблица'!KA37</f>
        <v>282905000</v>
      </c>
      <c r="F305" s="688">
        <f>'Проверочная  таблица'!KF37</f>
        <v>162487203.78999999</v>
      </c>
      <c r="G305" s="692">
        <f>D305-E305</f>
        <v>0</v>
      </c>
      <c r="H305" s="280">
        <f t="shared" si="175"/>
        <v>0</v>
      </c>
      <c r="I305" s="280">
        <f>IF(G305&lt;0,1,0)</f>
        <v>0</v>
      </c>
    </row>
    <row r="306" spans="1:10" x14ac:dyDescent="0.25">
      <c r="A306" s="689"/>
      <c r="B306" s="693" t="s">
        <v>161</v>
      </c>
      <c r="C306" s="694"/>
      <c r="D306" s="692"/>
      <c r="E306" s="692"/>
      <c r="F306" s="692"/>
      <c r="G306" s="692">
        <f>D306-E306</f>
        <v>0</v>
      </c>
      <c r="H306" s="280">
        <f t="shared" si="175"/>
        <v>0</v>
      </c>
      <c r="I306" s="280">
        <f>IF(G306&lt;0,1,0)</f>
        <v>0</v>
      </c>
    </row>
    <row r="307" spans="1:10" x14ac:dyDescent="0.25">
      <c r="A307" s="689"/>
      <c r="B307" s="693" t="s">
        <v>162</v>
      </c>
      <c r="C307" s="694"/>
      <c r="D307" s="692"/>
      <c r="E307" s="692"/>
      <c r="F307" s="692"/>
      <c r="G307" s="692">
        <f>D307-E307</f>
        <v>0</v>
      </c>
      <c r="H307" s="280">
        <f t="shared" si="175"/>
        <v>0</v>
      </c>
      <c r="I307" s="280">
        <f>IF(G307&lt;0,1,0)</f>
        <v>0</v>
      </c>
      <c r="J307" s="824"/>
    </row>
    <row r="308" spans="1:10" x14ac:dyDescent="0.25">
      <c r="A308" s="689"/>
      <c r="B308" s="693" t="s">
        <v>402</v>
      </c>
      <c r="C308" s="694"/>
      <c r="D308" s="692">
        <f>D305-D306-D307</f>
        <v>282905000</v>
      </c>
      <c r="E308" s="692">
        <f t="shared" ref="E308:F308" si="179">E305-E306-E307</f>
        <v>282905000</v>
      </c>
      <c r="F308" s="692">
        <f t="shared" si="179"/>
        <v>162487203.78999999</v>
      </c>
      <c r="G308" s="692">
        <f>D308-E308</f>
        <v>0</v>
      </c>
      <c r="H308" s="280">
        <f t="shared" ref="H308" si="180">IF(F308&gt;E308,1,0)</f>
        <v>0</v>
      </c>
      <c r="I308" s="280">
        <f>IF(G308&lt;0,1,0)</f>
        <v>0</v>
      </c>
      <c r="J308" s="824"/>
    </row>
    <row r="309" spans="1:10" ht="118.8" x14ac:dyDescent="0.25">
      <c r="A309" s="1179"/>
      <c r="B309" s="465" t="s">
        <v>630</v>
      </c>
      <c r="C309" s="145" t="s">
        <v>723</v>
      </c>
      <c r="D309" s="275">
        <v>16290767.699999999</v>
      </c>
      <c r="E309" s="485">
        <f>'Проверочная  таблица'!KB37</f>
        <v>16290767.699999999</v>
      </c>
      <c r="F309" s="485">
        <f>'Проверочная  таблица'!KG37</f>
        <v>2663070.88</v>
      </c>
      <c r="G309" s="276">
        <f>D309-E309</f>
        <v>0</v>
      </c>
      <c r="H309" s="280">
        <f t="shared" ref="H309:H316" si="181">IF(F309&gt;E309,1,0)</f>
        <v>0</v>
      </c>
      <c r="I309" s="280">
        <f t="shared" ref="I309:I312" si="182">IF(G309&lt;0,1,0)</f>
        <v>0</v>
      </c>
      <c r="J309" s="820">
        <f>D309+D313</f>
        <v>58181267.700000003</v>
      </c>
    </row>
    <row r="310" spans="1:10" x14ac:dyDescent="0.25">
      <c r="A310" s="378"/>
      <c r="B310" s="379" t="s">
        <v>161</v>
      </c>
      <c r="C310" s="380"/>
      <c r="D310" s="382"/>
      <c r="E310" s="382"/>
      <c r="F310" s="382"/>
      <c r="G310" s="382">
        <f t="shared" ref="G310:G312" si="183">D310-E310</f>
        <v>0</v>
      </c>
      <c r="H310" s="280">
        <f t="shared" si="181"/>
        <v>0</v>
      </c>
      <c r="I310" s="280">
        <f t="shared" si="182"/>
        <v>0</v>
      </c>
    </row>
    <row r="311" spans="1:10" x14ac:dyDescent="0.25">
      <c r="A311" s="378"/>
      <c r="B311" s="379" t="s">
        <v>162</v>
      </c>
      <c r="C311" s="380"/>
      <c r="D311" s="382"/>
      <c r="E311" s="382"/>
      <c r="F311" s="382"/>
      <c r="G311" s="382">
        <f t="shared" si="183"/>
        <v>0</v>
      </c>
      <c r="H311" s="280">
        <f t="shared" si="181"/>
        <v>0</v>
      </c>
      <c r="I311" s="280">
        <f t="shared" si="182"/>
        <v>0</v>
      </c>
    </row>
    <row r="312" spans="1:10" x14ac:dyDescent="0.25">
      <c r="A312" s="378"/>
      <c r="B312" s="379" t="s">
        <v>402</v>
      </c>
      <c r="C312" s="380"/>
      <c r="D312" s="382">
        <f>D309-D310-D311</f>
        <v>16290767.699999999</v>
      </c>
      <c r="E312" s="382">
        <f t="shared" ref="E312:F312" si="184">E309-E310-E311</f>
        <v>16290767.699999999</v>
      </c>
      <c r="F312" s="382">
        <f t="shared" si="184"/>
        <v>2663070.88</v>
      </c>
      <c r="G312" s="382">
        <f t="shared" si="183"/>
        <v>0</v>
      </c>
      <c r="H312" s="280">
        <f t="shared" si="181"/>
        <v>0</v>
      </c>
      <c r="I312" s="280">
        <f t="shared" si="182"/>
        <v>0</v>
      </c>
    </row>
    <row r="313" spans="1:10" x14ac:dyDescent="0.25">
      <c r="A313" s="689"/>
      <c r="B313" s="690" t="s">
        <v>66</v>
      </c>
      <c r="C313" s="676" t="s">
        <v>723</v>
      </c>
      <c r="D313" s="960">
        <v>41890500</v>
      </c>
      <c r="E313" s="688">
        <f>'Проверочная  таблица'!KC37</f>
        <v>41890500</v>
      </c>
      <c r="F313" s="688">
        <f>'Проверочная  таблица'!KH37</f>
        <v>6847889.1200000001</v>
      </c>
      <c r="G313" s="692">
        <f>D313-E313</f>
        <v>0</v>
      </c>
      <c r="H313" s="280">
        <f t="shared" si="181"/>
        <v>0</v>
      </c>
      <c r="I313" s="280">
        <f>IF(G313&lt;0,1,0)</f>
        <v>0</v>
      </c>
    </row>
    <row r="314" spans="1:10" x14ac:dyDescent="0.25">
      <c r="A314" s="689"/>
      <c r="B314" s="693" t="s">
        <v>161</v>
      </c>
      <c r="C314" s="694"/>
      <c r="D314" s="692"/>
      <c r="E314" s="692"/>
      <c r="F314" s="692"/>
      <c r="G314" s="692">
        <f>D314-E314</f>
        <v>0</v>
      </c>
      <c r="H314" s="280">
        <f t="shared" si="181"/>
        <v>0</v>
      </c>
      <c r="I314" s="280">
        <f>IF(G314&lt;0,1,0)</f>
        <v>0</v>
      </c>
    </row>
    <row r="315" spans="1:10" x14ac:dyDescent="0.25">
      <c r="A315" s="689"/>
      <c r="B315" s="693" t="s">
        <v>162</v>
      </c>
      <c r="C315" s="694"/>
      <c r="D315" s="692"/>
      <c r="E315" s="692"/>
      <c r="F315" s="692"/>
      <c r="G315" s="692">
        <f>D315-E315</f>
        <v>0</v>
      </c>
      <c r="H315" s="280">
        <f t="shared" si="181"/>
        <v>0</v>
      </c>
      <c r="I315" s="280">
        <f>IF(G315&lt;0,1,0)</f>
        <v>0</v>
      </c>
      <c r="J315" s="824"/>
    </row>
    <row r="316" spans="1:10" x14ac:dyDescent="0.25">
      <c r="A316" s="689"/>
      <c r="B316" s="693" t="s">
        <v>402</v>
      </c>
      <c r="C316" s="694"/>
      <c r="D316" s="692">
        <f>D313-D314-D315</f>
        <v>41890500</v>
      </c>
      <c r="E316" s="692">
        <f t="shared" ref="E316:F316" si="185">E313-E314-E315</f>
        <v>41890500</v>
      </c>
      <c r="F316" s="692">
        <f t="shared" si="185"/>
        <v>6847889.1200000001</v>
      </c>
      <c r="G316" s="692">
        <f>D316-E316</f>
        <v>0</v>
      </c>
      <c r="H316" s="280">
        <f t="shared" si="181"/>
        <v>0</v>
      </c>
      <c r="I316" s="280">
        <f>IF(G316&lt;0,1,0)</f>
        <v>0</v>
      </c>
      <c r="J316" s="824"/>
    </row>
    <row r="317" spans="1:10" ht="171.6" x14ac:dyDescent="0.25">
      <c r="A317" s="188"/>
      <c r="B317" s="465" t="s">
        <v>249</v>
      </c>
      <c r="C317" s="145" t="s">
        <v>220</v>
      </c>
      <c r="D317" s="275">
        <v>409010674.60000002</v>
      </c>
      <c r="E317" s="485">
        <f>D317</f>
        <v>409010674.60000002</v>
      </c>
      <c r="F317" s="383">
        <v>315710037.20999998</v>
      </c>
      <c r="G317" s="276">
        <f>D317-E317</f>
        <v>0</v>
      </c>
      <c r="H317" s="280">
        <f t="shared" ref="H317:H352" si="186">IF(F317&gt;E317,1,0)</f>
        <v>0</v>
      </c>
      <c r="I317" s="280">
        <f t="shared" ref="I317:I402" si="187">IF(G317&lt;0,1,0)</f>
        <v>0</v>
      </c>
    </row>
    <row r="318" spans="1:10" x14ac:dyDescent="0.25">
      <c r="A318" s="378"/>
      <c r="B318" s="379" t="s">
        <v>161</v>
      </c>
      <c r="C318" s="380"/>
      <c r="D318" s="382">
        <f>D317-D319</f>
        <v>228738127.60000002</v>
      </c>
      <c r="E318" s="382">
        <f>E317-E319</f>
        <v>228738127.60000002</v>
      </c>
      <c r="F318" s="382">
        <f>F317-F319</f>
        <v>164571199.20999998</v>
      </c>
      <c r="G318" s="382">
        <f>G317-G319</f>
        <v>0</v>
      </c>
      <c r="H318" s="280">
        <f t="shared" si="186"/>
        <v>0</v>
      </c>
      <c r="I318" s="280">
        <f t="shared" si="187"/>
        <v>0</v>
      </c>
    </row>
    <row r="319" spans="1:10" x14ac:dyDescent="0.25">
      <c r="A319" s="378"/>
      <c r="B319" s="379" t="s">
        <v>162</v>
      </c>
      <c r="C319" s="380"/>
      <c r="D319" s="381">
        <v>180272547</v>
      </c>
      <c r="E319" s="442">
        <f>D319</f>
        <v>180272547</v>
      </c>
      <c r="F319" s="381">
        <v>151138838</v>
      </c>
      <c r="G319" s="382">
        <f>D319-E319</f>
        <v>0</v>
      </c>
      <c r="H319" s="280">
        <f t="shared" si="186"/>
        <v>0</v>
      </c>
      <c r="I319" s="280">
        <f t="shared" si="187"/>
        <v>0</v>
      </c>
    </row>
    <row r="320" spans="1:10" x14ac:dyDescent="0.25">
      <c r="A320" s="188"/>
      <c r="B320" s="467"/>
      <c r="C320" s="184"/>
      <c r="D320" s="277"/>
      <c r="E320" s="182"/>
      <c r="F320" s="182"/>
      <c r="G320" s="276"/>
      <c r="H320" s="280">
        <f t="shared" si="186"/>
        <v>0</v>
      </c>
      <c r="I320" s="280">
        <f t="shared" si="187"/>
        <v>0</v>
      </c>
    </row>
    <row r="321" spans="1:9" x14ac:dyDescent="0.25">
      <c r="A321" s="180" t="s">
        <v>319</v>
      </c>
      <c r="B321" s="247" t="s">
        <v>320</v>
      </c>
      <c r="C321" s="186"/>
      <c r="D321" s="278">
        <f>D328+D325</f>
        <v>149306623.30000001</v>
      </c>
      <c r="E321" s="278">
        <f t="shared" ref="E321:G323" si="188">E328+E325</f>
        <v>149306623.30000001</v>
      </c>
      <c r="F321" s="278">
        <f t="shared" si="188"/>
        <v>143667264</v>
      </c>
      <c r="G321" s="278">
        <f t="shared" si="188"/>
        <v>0</v>
      </c>
      <c r="H321" s="280">
        <f t="shared" ref="H321:H330" si="189">IF(F321&gt;E321,1,0)</f>
        <v>0</v>
      </c>
      <c r="I321" s="280">
        <f t="shared" ref="I321:I330" si="190">IF(G321&lt;0,1,0)</f>
        <v>0</v>
      </c>
    </row>
    <row r="322" spans="1:9" x14ac:dyDescent="0.25">
      <c r="A322" s="370"/>
      <c r="B322" s="371" t="s">
        <v>161</v>
      </c>
      <c r="C322" s="372"/>
      <c r="D322" s="373">
        <f>D329+D326</f>
        <v>57775427.300000012</v>
      </c>
      <c r="E322" s="373">
        <f t="shared" si="188"/>
        <v>57775427.300000012</v>
      </c>
      <c r="F322" s="373">
        <f t="shared" si="188"/>
        <v>56794446</v>
      </c>
      <c r="G322" s="373">
        <f t="shared" si="188"/>
        <v>0</v>
      </c>
      <c r="H322" s="280">
        <f t="shared" si="189"/>
        <v>0</v>
      </c>
      <c r="I322" s="280">
        <f t="shared" si="190"/>
        <v>0</v>
      </c>
    </row>
    <row r="323" spans="1:9" x14ac:dyDescent="0.25">
      <c r="A323" s="370"/>
      <c r="B323" s="371" t="s">
        <v>162</v>
      </c>
      <c r="C323" s="372"/>
      <c r="D323" s="373">
        <f>D330+D327</f>
        <v>91531196</v>
      </c>
      <c r="E323" s="373">
        <f t="shared" si="188"/>
        <v>91531196</v>
      </c>
      <c r="F323" s="373">
        <f t="shared" si="188"/>
        <v>86872818</v>
      </c>
      <c r="G323" s="373">
        <f t="shared" si="188"/>
        <v>0</v>
      </c>
      <c r="H323" s="280">
        <f t="shared" si="189"/>
        <v>0</v>
      </c>
      <c r="I323" s="280">
        <f t="shared" si="190"/>
        <v>0</v>
      </c>
    </row>
    <row r="324" spans="1:9" x14ac:dyDescent="0.25">
      <c r="A324" s="188"/>
      <c r="B324" s="464" t="s">
        <v>45</v>
      </c>
      <c r="C324" s="184"/>
      <c r="D324" s="277"/>
      <c r="E324" s="182"/>
      <c r="F324" s="182"/>
      <c r="G324" s="276"/>
      <c r="H324" s="280">
        <f t="shared" si="189"/>
        <v>0</v>
      </c>
      <c r="I324" s="280">
        <f t="shared" si="190"/>
        <v>0</v>
      </c>
    </row>
    <row r="325" spans="1:9" ht="145.19999999999999" hidden="1" x14ac:dyDescent="0.25">
      <c r="A325" s="1152"/>
      <c r="B325" s="465" t="s">
        <v>335</v>
      </c>
      <c r="C325" s="145" t="s">
        <v>334</v>
      </c>
      <c r="D325" s="275"/>
      <c r="E325" s="485">
        <f>'Прочая  субсидия_МР  и  ГО'!L38</f>
        <v>0</v>
      </c>
      <c r="F325" s="485">
        <f>'Прочая  субсидия_МР  и  ГО'!M38</f>
        <v>0</v>
      </c>
      <c r="G325" s="276">
        <f t="shared" ref="G325:G330" si="191">D325-E325</f>
        <v>0</v>
      </c>
      <c r="H325" s="280">
        <f>IF(F325&gt;E325,1,0)</f>
        <v>0</v>
      </c>
      <c r="I325" s="280">
        <f>IF(G325&lt;0,1,0)</f>
        <v>0</v>
      </c>
    </row>
    <row r="326" spans="1:9" hidden="1" x14ac:dyDescent="0.25">
      <c r="A326" s="378"/>
      <c r="B326" s="379" t="s">
        <v>161</v>
      </c>
      <c r="C326" s="380"/>
      <c r="D326" s="382">
        <f>D325</f>
        <v>0</v>
      </c>
      <c r="E326" s="382">
        <f>E325</f>
        <v>0</v>
      </c>
      <c r="F326" s="382">
        <f>F325</f>
        <v>0</v>
      </c>
      <c r="G326" s="382">
        <f t="shared" si="191"/>
        <v>0</v>
      </c>
      <c r="H326" s="280">
        <f>IF(F326&gt;E326,1,0)</f>
        <v>0</v>
      </c>
      <c r="I326" s="280">
        <f>IF(G326&lt;0,1,0)</f>
        <v>0</v>
      </c>
    </row>
    <row r="327" spans="1:9" hidden="1" x14ac:dyDescent="0.25">
      <c r="A327" s="378"/>
      <c r="B327" s="379" t="s">
        <v>162</v>
      </c>
      <c r="C327" s="380"/>
      <c r="D327" s="382">
        <f>D325-D326</f>
        <v>0</v>
      </c>
      <c r="E327" s="382">
        <f>E325-E326</f>
        <v>0</v>
      </c>
      <c r="F327" s="382">
        <f>F325-F326</f>
        <v>0</v>
      </c>
      <c r="G327" s="382">
        <f t="shared" si="191"/>
        <v>0</v>
      </c>
      <c r="H327" s="280">
        <f>IF(F327&gt;E327,1,0)</f>
        <v>0</v>
      </c>
      <c r="I327" s="280">
        <f>IF(G327&lt;0,1,0)</f>
        <v>0</v>
      </c>
    </row>
    <row r="328" spans="1:9" ht="171.6" x14ac:dyDescent="0.25">
      <c r="A328" s="188"/>
      <c r="B328" s="465" t="s">
        <v>249</v>
      </c>
      <c r="C328" s="145" t="s">
        <v>220</v>
      </c>
      <c r="D328" s="275">
        <v>149306623.30000001</v>
      </c>
      <c r="E328" s="485">
        <f>D328</f>
        <v>149306623.30000001</v>
      </c>
      <c r="F328" s="383">
        <v>143667264</v>
      </c>
      <c r="G328" s="276">
        <f t="shared" si="191"/>
        <v>0</v>
      </c>
      <c r="H328" s="280">
        <f t="shared" si="189"/>
        <v>0</v>
      </c>
      <c r="I328" s="280">
        <f t="shared" si="190"/>
        <v>0</v>
      </c>
    </row>
    <row r="329" spans="1:9" x14ac:dyDescent="0.25">
      <c r="A329" s="378"/>
      <c r="B329" s="379" t="s">
        <v>161</v>
      </c>
      <c r="C329" s="380"/>
      <c r="D329" s="382">
        <f>D328-D330</f>
        <v>57775427.300000012</v>
      </c>
      <c r="E329" s="382">
        <f t="shared" ref="E329:F329" si="192">E328-E330</f>
        <v>57775427.300000012</v>
      </c>
      <c r="F329" s="382">
        <f t="shared" si="192"/>
        <v>56794446</v>
      </c>
      <c r="G329" s="382">
        <f t="shared" si="191"/>
        <v>0</v>
      </c>
      <c r="H329" s="280">
        <f t="shared" si="189"/>
        <v>0</v>
      </c>
      <c r="I329" s="280">
        <f t="shared" si="190"/>
        <v>0</v>
      </c>
    </row>
    <row r="330" spans="1:9" x14ac:dyDescent="0.25">
      <c r="A330" s="378"/>
      <c r="B330" s="379" t="s">
        <v>162</v>
      </c>
      <c r="C330" s="380"/>
      <c r="D330" s="381">
        <v>91531196</v>
      </c>
      <c r="E330" s="442">
        <f>D330</f>
        <v>91531196</v>
      </c>
      <c r="F330" s="381">
        <v>86872818</v>
      </c>
      <c r="G330" s="382">
        <f t="shared" si="191"/>
        <v>0</v>
      </c>
      <c r="H330" s="280">
        <f t="shared" si="189"/>
        <v>0</v>
      </c>
      <c r="I330" s="280">
        <f t="shared" si="190"/>
        <v>0</v>
      </c>
    </row>
    <row r="331" spans="1:9" x14ac:dyDescent="0.25">
      <c r="A331" s="188"/>
      <c r="B331" s="467"/>
      <c r="C331" s="184"/>
      <c r="D331" s="277"/>
      <c r="E331" s="182"/>
      <c r="F331" s="182"/>
      <c r="G331" s="276"/>
      <c r="H331" s="280">
        <f>IF(F331&gt;E331,1,0)</f>
        <v>0</v>
      </c>
      <c r="I331" s="280">
        <f>IF(G331&lt;0,1,0)</f>
        <v>0</v>
      </c>
    </row>
    <row r="332" spans="1:9" x14ac:dyDescent="0.25">
      <c r="A332" s="180" t="s">
        <v>54</v>
      </c>
      <c r="B332" s="247" t="s">
        <v>121</v>
      </c>
      <c r="C332" s="186"/>
      <c r="D332" s="278">
        <f t="shared" ref="D332:G334" si="193">D336+D342+D339</f>
        <v>14500000</v>
      </c>
      <c r="E332" s="278">
        <f t="shared" si="193"/>
        <v>14500000</v>
      </c>
      <c r="F332" s="278">
        <f t="shared" si="193"/>
        <v>12367430.140000001</v>
      </c>
      <c r="G332" s="278">
        <f t="shared" si="193"/>
        <v>0</v>
      </c>
      <c r="H332" s="280">
        <f t="shared" si="186"/>
        <v>0</v>
      </c>
      <c r="I332" s="280">
        <f t="shared" si="187"/>
        <v>0</v>
      </c>
    </row>
    <row r="333" spans="1:9" x14ac:dyDescent="0.25">
      <c r="A333" s="370"/>
      <c r="B333" s="371" t="s">
        <v>161</v>
      </c>
      <c r="C333" s="372"/>
      <c r="D333" s="493">
        <f t="shared" si="193"/>
        <v>14500000</v>
      </c>
      <c r="E333" s="493">
        <f t="shared" si="193"/>
        <v>14500000</v>
      </c>
      <c r="F333" s="493">
        <f t="shared" si="193"/>
        <v>12367430.140000001</v>
      </c>
      <c r="G333" s="493">
        <f t="shared" si="193"/>
        <v>0</v>
      </c>
      <c r="H333" s="280">
        <f t="shared" si="186"/>
        <v>0</v>
      </c>
      <c r="I333" s="280">
        <f t="shared" si="187"/>
        <v>0</v>
      </c>
    </row>
    <row r="334" spans="1:9" x14ac:dyDescent="0.25">
      <c r="A334" s="370"/>
      <c r="B334" s="371" t="s">
        <v>162</v>
      </c>
      <c r="C334" s="372"/>
      <c r="D334" s="493">
        <f t="shared" si="193"/>
        <v>0</v>
      </c>
      <c r="E334" s="493">
        <f t="shared" si="193"/>
        <v>0</v>
      </c>
      <c r="F334" s="493">
        <f t="shared" si="193"/>
        <v>0</v>
      </c>
      <c r="G334" s="493">
        <f t="shared" si="193"/>
        <v>0</v>
      </c>
      <c r="H334" s="280">
        <f t="shared" si="186"/>
        <v>0</v>
      </c>
      <c r="I334" s="280">
        <f t="shared" si="187"/>
        <v>0</v>
      </c>
    </row>
    <row r="335" spans="1:9" x14ac:dyDescent="0.25">
      <c r="A335" s="188"/>
      <c r="B335" s="464" t="s">
        <v>45</v>
      </c>
      <c r="C335" s="184"/>
      <c r="D335" s="277"/>
      <c r="E335" s="182"/>
      <c r="F335" s="182"/>
      <c r="G335" s="276"/>
      <c r="H335" s="280">
        <f t="shared" si="186"/>
        <v>0</v>
      </c>
      <c r="I335" s="280">
        <f t="shared" si="187"/>
        <v>0</v>
      </c>
    </row>
    <row r="336" spans="1:9" ht="118.8" x14ac:dyDescent="0.25">
      <c r="A336" s="188"/>
      <c r="B336" s="463" t="s">
        <v>866</v>
      </c>
      <c r="C336" s="145" t="s">
        <v>865</v>
      </c>
      <c r="D336" s="275">
        <v>2500000</v>
      </c>
      <c r="E336" s="195">
        <f>'Прочая  субсидия_МР  и  ГО'!J33</f>
        <v>2500000</v>
      </c>
      <c r="F336" s="195">
        <f>'Прочая  субсидия_МР  и  ГО'!K33</f>
        <v>2500000</v>
      </c>
      <c r="G336" s="276">
        <f>D336-E336</f>
        <v>0</v>
      </c>
      <c r="H336" s="280">
        <f>IF(F336&gt;E336,1,0)</f>
        <v>0</v>
      </c>
      <c r="I336" s="280">
        <f>IF(G336&lt;0,1,0)</f>
        <v>0</v>
      </c>
    </row>
    <row r="337" spans="1:9" x14ac:dyDescent="0.25">
      <c r="A337" s="378"/>
      <c r="B337" s="379"/>
      <c r="C337" s="380"/>
      <c r="D337" s="382">
        <f>D336</f>
        <v>2500000</v>
      </c>
      <c r="E337" s="382">
        <f>E336</f>
        <v>2500000</v>
      </c>
      <c r="F337" s="382">
        <f>F336</f>
        <v>2500000</v>
      </c>
      <c r="G337" s="382">
        <f>D337-E337</f>
        <v>0</v>
      </c>
      <c r="H337" s="280">
        <f>IF(F337&gt;E337,1,0)</f>
        <v>0</v>
      </c>
      <c r="I337" s="280">
        <f>IF(G337&lt;0,1,0)</f>
        <v>0</v>
      </c>
    </row>
    <row r="338" spans="1:9" x14ac:dyDescent="0.25">
      <c r="A338" s="378"/>
      <c r="B338" s="379"/>
      <c r="C338" s="380"/>
      <c r="D338" s="382">
        <f>D336-D337</f>
        <v>0</v>
      </c>
      <c r="E338" s="382">
        <f>E336-E337</f>
        <v>0</v>
      </c>
      <c r="F338" s="382">
        <f>F336-F337</f>
        <v>0</v>
      </c>
      <c r="G338" s="382">
        <f>D338-E338</f>
        <v>0</v>
      </c>
      <c r="H338" s="280">
        <f>IF(F338&gt;E338,1,0)</f>
        <v>0</v>
      </c>
      <c r="I338" s="280">
        <f>IF(G338&lt;0,1,0)</f>
        <v>0</v>
      </c>
    </row>
    <row r="339" spans="1:9" ht="118.8" x14ac:dyDescent="0.25">
      <c r="A339" s="188"/>
      <c r="B339" s="463" t="s">
        <v>526</v>
      </c>
      <c r="C339" s="145" t="s">
        <v>378</v>
      </c>
      <c r="D339" s="275">
        <v>12000000</v>
      </c>
      <c r="E339" s="195">
        <f>'Прочая  субсидия_МР  и  ГО'!N38</f>
        <v>12000000</v>
      </c>
      <c r="F339" s="195">
        <f>'Прочая  субсидия_МР  и  ГО'!O38</f>
        <v>9867430.1400000006</v>
      </c>
      <c r="G339" s="276">
        <f t="shared" ref="G339:G341" si="194">D339-E339</f>
        <v>0</v>
      </c>
      <c r="H339" s="280">
        <f t="shared" ref="H339:H341" si="195">IF(F339&gt;E339,1,0)</f>
        <v>0</v>
      </c>
      <c r="I339" s="280">
        <f t="shared" ref="I339:I341" si="196">IF(G339&lt;0,1,0)</f>
        <v>0</v>
      </c>
    </row>
    <row r="340" spans="1:9" x14ac:dyDescent="0.25">
      <c r="A340" s="378"/>
      <c r="B340" s="379" t="s">
        <v>161</v>
      </c>
      <c r="C340" s="380"/>
      <c r="D340" s="382">
        <f>D339</f>
        <v>12000000</v>
      </c>
      <c r="E340" s="382">
        <f t="shared" ref="E340:F340" si="197">E339</f>
        <v>12000000</v>
      </c>
      <c r="F340" s="382">
        <f t="shared" si="197"/>
        <v>9867430.1400000006</v>
      </c>
      <c r="G340" s="382">
        <f t="shared" si="194"/>
        <v>0</v>
      </c>
      <c r="H340" s="280">
        <f t="shared" si="195"/>
        <v>0</v>
      </c>
      <c r="I340" s="280">
        <f t="shared" si="196"/>
        <v>0</v>
      </c>
    </row>
    <row r="341" spans="1:9" x14ac:dyDescent="0.25">
      <c r="A341" s="378"/>
      <c r="B341" s="379" t="s">
        <v>162</v>
      </c>
      <c r="C341" s="380"/>
      <c r="D341" s="382">
        <f>D339-D340</f>
        <v>0</v>
      </c>
      <c r="E341" s="382">
        <f>E339-E340</f>
        <v>0</v>
      </c>
      <c r="F341" s="382">
        <f>F339-F340</f>
        <v>0</v>
      </c>
      <c r="G341" s="382">
        <f t="shared" si="194"/>
        <v>0</v>
      </c>
      <c r="H341" s="280">
        <f t="shared" si="195"/>
        <v>0</v>
      </c>
      <c r="I341" s="280">
        <f t="shared" si="196"/>
        <v>0</v>
      </c>
    </row>
    <row r="342" spans="1:9" ht="171.6" hidden="1" x14ac:dyDescent="0.25">
      <c r="A342" s="188"/>
      <c r="B342" s="465" t="s">
        <v>249</v>
      </c>
      <c r="C342" s="145" t="s">
        <v>220</v>
      </c>
      <c r="D342" s="275"/>
      <c r="E342" s="485">
        <f>D342</f>
        <v>0</v>
      </c>
      <c r="F342" s="383"/>
      <c r="G342" s="276">
        <f t="shared" ref="G342:G344" si="198">D342-E342</f>
        <v>0</v>
      </c>
      <c r="H342" s="280">
        <f t="shared" si="186"/>
        <v>0</v>
      </c>
      <c r="I342" s="280">
        <f t="shared" si="187"/>
        <v>0</v>
      </c>
    </row>
    <row r="343" spans="1:9" hidden="1" x14ac:dyDescent="0.25">
      <c r="A343" s="378"/>
      <c r="B343" s="379" t="s">
        <v>161</v>
      </c>
      <c r="C343" s="380"/>
      <c r="D343" s="382">
        <f>D342</f>
        <v>0</v>
      </c>
      <c r="E343" s="382">
        <f>E342</f>
        <v>0</v>
      </c>
      <c r="F343" s="382">
        <f>F342</f>
        <v>0</v>
      </c>
      <c r="G343" s="382">
        <f t="shared" si="198"/>
        <v>0</v>
      </c>
      <c r="H343" s="280">
        <f t="shared" si="186"/>
        <v>0</v>
      </c>
      <c r="I343" s="280">
        <f t="shared" si="187"/>
        <v>0</v>
      </c>
    </row>
    <row r="344" spans="1:9" hidden="1" x14ac:dyDescent="0.25">
      <c r="A344" s="378"/>
      <c r="B344" s="379" t="s">
        <v>162</v>
      </c>
      <c r="C344" s="380"/>
      <c r="D344" s="382">
        <f>D342-D343</f>
        <v>0</v>
      </c>
      <c r="E344" s="382">
        <f>E342-E343</f>
        <v>0</v>
      </c>
      <c r="F344" s="382">
        <f>F342-F343</f>
        <v>0</v>
      </c>
      <c r="G344" s="382">
        <f t="shared" si="198"/>
        <v>0</v>
      </c>
      <c r="H344" s="280">
        <f t="shared" si="186"/>
        <v>0</v>
      </c>
      <c r="I344" s="280">
        <f t="shared" si="187"/>
        <v>0</v>
      </c>
    </row>
    <row r="345" spans="1:9" x14ac:dyDescent="0.25">
      <c r="A345" s="188"/>
      <c r="B345" s="467"/>
      <c r="C345" s="184"/>
      <c r="D345" s="277"/>
      <c r="E345" s="182"/>
      <c r="F345" s="182"/>
      <c r="G345" s="276"/>
      <c r="H345" s="280">
        <f t="shared" si="186"/>
        <v>0</v>
      </c>
      <c r="I345" s="280">
        <f t="shared" si="187"/>
        <v>0</v>
      </c>
    </row>
    <row r="346" spans="1:9" x14ac:dyDescent="0.25">
      <c r="A346" s="180" t="s">
        <v>40</v>
      </c>
      <c r="B346" s="247" t="s">
        <v>41</v>
      </c>
      <c r="C346" s="186"/>
      <c r="D346" s="834">
        <f>D359+D395+D362+D365+D371+D377+D368+D374+D380+D383+D389+D350+D386+D392+D353+D356</f>
        <v>528521170.12</v>
      </c>
      <c r="E346" s="834">
        <f t="shared" ref="E346:G346" si="199">E359+E395+E362+E365+E371+E377+E368+E374+E380+E383+E389+E350+E386+E392+E353+E356</f>
        <v>528521170.12</v>
      </c>
      <c r="F346" s="834">
        <f t="shared" si="199"/>
        <v>258953061.97000003</v>
      </c>
      <c r="G346" s="834">
        <f t="shared" si="199"/>
        <v>0</v>
      </c>
      <c r="H346" s="280">
        <f t="shared" si="186"/>
        <v>0</v>
      </c>
      <c r="I346" s="280">
        <f t="shared" si="187"/>
        <v>0</v>
      </c>
    </row>
    <row r="347" spans="1:9" x14ac:dyDescent="0.25">
      <c r="A347" s="370"/>
      <c r="B347" s="371" t="s">
        <v>161</v>
      </c>
      <c r="C347" s="372"/>
      <c r="D347" s="493">
        <f t="shared" ref="D347:G348" si="200">D360+D396+D363+D366+D372+D378+D369+D375+D381+D384+D390+D351+D387+D393+D354+D357</f>
        <v>222930442.5</v>
      </c>
      <c r="E347" s="493">
        <f t="shared" si="200"/>
        <v>222930442.5</v>
      </c>
      <c r="F347" s="493">
        <f t="shared" si="200"/>
        <v>186168508.53</v>
      </c>
      <c r="G347" s="493">
        <f t="shared" si="200"/>
        <v>0</v>
      </c>
      <c r="H347" s="280">
        <f t="shared" si="186"/>
        <v>0</v>
      </c>
      <c r="I347" s="280">
        <f t="shared" si="187"/>
        <v>0</v>
      </c>
    </row>
    <row r="348" spans="1:9" x14ac:dyDescent="0.25">
      <c r="A348" s="370"/>
      <c r="B348" s="371" t="s">
        <v>162</v>
      </c>
      <c r="C348" s="372"/>
      <c r="D348" s="493">
        <f t="shared" si="200"/>
        <v>305590727.62</v>
      </c>
      <c r="E348" s="493">
        <f t="shared" si="200"/>
        <v>305590727.62</v>
      </c>
      <c r="F348" s="493">
        <f t="shared" si="200"/>
        <v>72784553.439999998</v>
      </c>
      <c r="G348" s="493">
        <f t="shared" si="200"/>
        <v>0</v>
      </c>
      <c r="H348" s="280">
        <f t="shared" si="186"/>
        <v>0</v>
      </c>
      <c r="I348" s="280">
        <f t="shared" si="187"/>
        <v>0</v>
      </c>
    </row>
    <row r="349" spans="1:9" x14ac:dyDescent="0.25">
      <c r="A349" s="188"/>
      <c r="B349" s="464" t="s">
        <v>45</v>
      </c>
      <c r="C349" s="184"/>
      <c r="D349" s="277"/>
      <c r="E349" s="182"/>
      <c r="F349" s="182"/>
      <c r="G349" s="276"/>
      <c r="H349" s="280">
        <f t="shared" si="186"/>
        <v>0</v>
      </c>
      <c r="I349" s="280">
        <f t="shared" si="187"/>
        <v>0</v>
      </c>
    </row>
    <row r="350" spans="1:9" ht="145.19999999999999" x14ac:dyDescent="0.25">
      <c r="A350" s="245"/>
      <c r="B350" s="469" t="s">
        <v>381</v>
      </c>
      <c r="C350" s="145" t="s">
        <v>362</v>
      </c>
      <c r="D350" s="275">
        <v>1800000</v>
      </c>
      <c r="E350" s="195">
        <f>'Проверочная  таблица'!EB38</f>
        <v>1800000</v>
      </c>
      <c r="F350" s="195">
        <f>'Проверочная  таблица'!EJ38</f>
        <v>1800000</v>
      </c>
      <c r="G350" s="276">
        <f>D350-E350</f>
        <v>0</v>
      </c>
      <c r="H350" s="280">
        <f t="shared" si="186"/>
        <v>0</v>
      </c>
      <c r="I350" s="280">
        <f t="shared" si="187"/>
        <v>0</v>
      </c>
    </row>
    <row r="351" spans="1:9" x14ac:dyDescent="0.25">
      <c r="A351" s="378"/>
      <c r="B351" s="379" t="s">
        <v>161</v>
      </c>
      <c r="C351" s="380"/>
      <c r="D351" s="382">
        <f>D350</f>
        <v>1800000</v>
      </c>
      <c r="E351" s="382">
        <f>E350</f>
        <v>1800000</v>
      </c>
      <c r="F351" s="382">
        <f>F350</f>
        <v>1800000</v>
      </c>
      <c r="G351" s="382">
        <f>D351-E351</f>
        <v>0</v>
      </c>
      <c r="H351" s="280">
        <f t="shared" si="186"/>
        <v>0</v>
      </c>
      <c r="I351" s="280">
        <f t="shared" si="187"/>
        <v>0</v>
      </c>
    </row>
    <row r="352" spans="1:9" x14ac:dyDescent="0.25">
      <c r="A352" s="378"/>
      <c r="B352" s="379" t="s">
        <v>162</v>
      </c>
      <c r="C352" s="380"/>
      <c r="D352" s="382">
        <f>D350-D351</f>
        <v>0</v>
      </c>
      <c r="E352" s="382">
        <f>E350-E351</f>
        <v>0</v>
      </c>
      <c r="F352" s="382">
        <f>F350-F351</f>
        <v>0</v>
      </c>
      <c r="G352" s="382">
        <f>D352-E352</f>
        <v>0</v>
      </c>
      <c r="H352" s="280">
        <f t="shared" si="186"/>
        <v>0</v>
      </c>
      <c r="I352" s="280">
        <f t="shared" si="187"/>
        <v>0</v>
      </c>
    </row>
    <row r="353" spans="1:17" ht="250.8" x14ac:dyDescent="0.25">
      <c r="A353" s="1099"/>
      <c r="B353" s="838" t="s">
        <v>590</v>
      </c>
      <c r="C353" s="145" t="s">
        <v>587</v>
      </c>
      <c r="D353" s="611">
        <v>17291200</v>
      </c>
      <c r="E353" s="195">
        <f>'Проверочная  таблица'!HF38</f>
        <v>17291200</v>
      </c>
      <c r="F353" s="195">
        <f>'Проверочная  таблица'!HO38</f>
        <v>3128780.05</v>
      </c>
      <c r="G353" s="276">
        <f>D353-E353</f>
        <v>0</v>
      </c>
      <c r="H353" s="280">
        <f t="shared" ref="H353:H358" si="201">IF(F353&gt;E353,1,0)</f>
        <v>0</v>
      </c>
      <c r="I353" s="280">
        <f t="shared" ref="I353:I358" si="202">IF(G353&lt;0,1,0)</f>
        <v>0</v>
      </c>
      <c r="J353" s="820">
        <f>D353+D356</f>
        <v>61750000</v>
      </c>
      <c r="K353" s="837"/>
      <c r="L353" s="837"/>
      <c r="M353" s="837"/>
      <c r="N353" s="837"/>
      <c r="O353" s="837"/>
      <c r="P353" s="837"/>
      <c r="Q353" s="837"/>
    </row>
    <row r="354" spans="1:17" x14ac:dyDescent="0.25">
      <c r="A354" s="378"/>
      <c r="B354" s="379" t="s">
        <v>161</v>
      </c>
      <c r="C354" s="613"/>
      <c r="D354" s="382"/>
      <c r="E354" s="382"/>
      <c r="F354" s="382"/>
      <c r="G354" s="382"/>
      <c r="H354" s="280">
        <f t="shared" si="201"/>
        <v>0</v>
      </c>
      <c r="I354" s="280">
        <f t="shared" si="202"/>
        <v>0</v>
      </c>
      <c r="K354" s="837"/>
      <c r="L354" s="837"/>
      <c r="M354" s="837"/>
      <c r="N354" s="837"/>
      <c r="O354" s="837"/>
      <c r="P354" s="837"/>
      <c r="Q354" s="837"/>
    </row>
    <row r="355" spans="1:17" x14ac:dyDescent="0.25">
      <c r="A355" s="378"/>
      <c r="B355" s="379" t="s">
        <v>162</v>
      </c>
      <c r="C355" s="380"/>
      <c r="D355" s="382">
        <f>D353-D354</f>
        <v>17291200</v>
      </c>
      <c r="E355" s="382">
        <f>E353-E354</f>
        <v>17291200</v>
      </c>
      <c r="F355" s="382">
        <f>F353-F354</f>
        <v>3128780.05</v>
      </c>
      <c r="G355" s="382">
        <f>D355-E355</f>
        <v>0</v>
      </c>
      <c r="H355" s="280">
        <f t="shared" si="201"/>
        <v>0</v>
      </c>
      <c r="I355" s="280">
        <f t="shared" si="202"/>
        <v>0</v>
      </c>
      <c r="K355" s="837"/>
      <c r="L355" s="837"/>
      <c r="M355" s="837"/>
      <c r="N355" s="837"/>
      <c r="O355" s="837"/>
      <c r="P355" s="837"/>
      <c r="Q355" s="837"/>
    </row>
    <row r="356" spans="1:17" x14ac:dyDescent="0.25">
      <c r="A356" s="689"/>
      <c r="B356" s="690" t="s">
        <v>66</v>
      </c>
      <c r="C356" s="676" t="s">
        <v>587</v>
      </c>
      <c r="D356" s="691">
        <v>44458800</v>
      </c>
      <c r="E356" s="688">
        <f>'Проверочная  таблица'!HG38</f>
        <v>44458800</v>
      </c>
      <c r="F356" s="688">
        <f>'Проверочная  таблица'!HP38</f>
        <v>8044658.96</v>
      </c>
      <c r="G356" s="692">
        <f>D356-E356</f>
        <v>0</v>
      </c>
      <c r="H356" s="280">
        <f t="shared" si="201"/>
        <v>0</v>
      </c>
      <c r="I356" s="280">
        <f t="shared" si="202"/>
        <v>0</v>
      </c>
      <c r="J356" s="824"/>
      <c r="K356" s="837"/>
      <c r="L356" s="837"/>
      <c r="M356" s="837"/>
      <c r="N356" s="837"/>
      <c r="O356" s="837"/>
      <c r="P356" s="837"/>
      <c r="Q356" s="837"/>
    </row>
    <row r="357" spans="1:17" x14ac:dyDescent="0.25">
      <c r="A357" s="689"/>
      <c r="B357" s="693" t="s">
        <v>161</v>
      </c>
      <c r="C357" s="694"/>
      <c r="D357" s="692"/>
      <c r="E357" s="692"/>
      <c r="F357" s="692"/>
      <c r="G357" s="692"/>
      <c r="H357" s="280">
        <f t="shared" si="201"/>
        <v>0</v>
      </c>
      <c r="I357" s="280">
        <f t="shared" si="202"/>
        <v>0</v>
      </c>
      <c r="K357" s="837"/>
      <c r="L357" s="837"/>
      <c r="M357" s="837"/>
      <c r="N357" s="837"/>
      <c r="O357" s="837"/>
      <c r="P357" s="837"/>
      <c r="Q357" s="837"/>
    </row>
    <row r="358" spans="1:17" x14ac:dyDescent="0.25">
      <c r="A358" s="689"/>
      <c r="B358" s="693" t="s">
        <v>162</v>
      </c>
      <c r="C358" s="694"/>
      <c r="D358" s="692">
        <f>D356-D357</f>
        <v>44458800</v>
      </c>
      <c r="E358" s="692">
        <f>E356-E357</f>
        <v>44458800</v>
      </c>
      <c r="F358" s="692">
        <f>F356-F357</f>
        <v>8044658.96</v>
      </c>
      <c r="G358" s="692">
        <f>D358-E358</f>
        <v>0</v>
      </c>
      <c r="H358" s="280">
        <f t="shared" si="201"/>
        <v>0</v>
      </c>
      <c r="I358" s="280">
        <f t="shared" si="202"/>
        <v>0</v>
      </c>
      <c r="J358" s="823"/>
      <c r="K358" s="837"/>
      <c r="L358" s="837"/>
      <c r="M358" s="837"/>
      <c r="N358" s="837"/>
      <c r="O358" s="837"/>
      <c r="P358" s="837"/>
      <c r="Q358" s="837"/>
    </row>
    <row r="359" spans="1:17" ht="158.4" x14ac:dyDescent="0.25">
      <c r="A359" s="188"/>
      <c r="B359" s="469" t="s">
        <v>576</v>
      </c>
      <c r="C359" s="145" t="s">
        <v>575</v>
      </c>
      <c r="D359" s="275">
        <v>300000</v>
      </c>
      <c r="E359" s="182">
        <f>'Прочая  субсидия_МР  и  ГО'!P38</f>
        <v>300000</v>
      </c>
      <c r="F359" s="182">
        <f>'Прочая  субсидия_МР  и  ГО'!Q38</f>
        <v>300000</v>
      </c>
      <c r="G359" s="276">
        <f t="shared" ref="G359:G361" si="203">D359-E359</f>
        <v>0</v>
      </c>
      <c r="H359" s="280">
        <f>IF(F359&gt;E359,1,0)</f>
        <v>0</v>
      </c>
      <c r="I359" s="280">
        <f t="shared" si="187"/>
        <v>0</v>
      </c>
    </row>
    <row r="360" spans="1:17" x14ac:dyDescent="0.25">
      <c r="A360" s="378"/>
      <c r="B360" s="379" t="s">
        <v>161</v>
      </c>
      <c r="C360" s="380"/>
      <c r="D360" s="382">
        <f>D359</f>
        <v>300000</v>
      </c>
      <c r="E360" s="382">
        <f>E359</f>
        <v>300000</v>
      </c>
      <c r="F360" s="382">
        <f>F359</f>
        <v>300000</v>
      </c>
      <c r="G360" s="382">
        <f t="shared" si="203"/>
        <v>0</v>
      </c>
      <c r="H360" s="280">
        <f>IF(F360&gt;E360,1,0)</f>
        <v>0</v>
      </c>
      <c r="I360" s="280">
        <f t="shared" si="187"/>
        <v>0</v>
      </c>
    </row>
    <row r="361" spans="1:17" x14ac:dyDescent="0.25">
      <c r="A361" s="378"/>
      <c r="B361" s="379" t="s">
        <v>162</v>
      </c>
      <c r="C361" s="380"/>
      <c r="D361" s="382">
        <f>D359-D360</f>
        <v>0</v>
      </c>
      <c r="E361" s="382">
        <f>E359-E360</f>
        <v>0</v>
      </c>
      <c r="F361" s="382">
        <f>F359-F360</f>
        <v>0</v>
      </c>
      <c r="G361" s="382">
        <f t="shared" si="203"/>
        <v>0</v>
      </c>
      <c r="H361" s="280">
        <f>IF(F361&gt;E361,1,0)</f>
        <v>0</v>
      </c>
      <c r="I361" s="280">
        <f t="shared" si="187"/>
        <v>0</v>
      </c>
    </row>
    <row r="362" spans="1:17" ht="105.6" x14ac:dyDescent="0.25">
      <c r="A362" s="188"/>
      <c r="B362" s="469" t="s">
        <v>270</v>
      </c>
      <c r="C362" s="145" t="s">
        <v>269</v>
      </c>
      <c r="D362" s="275">
        <f>105000000-16613060.38</f>
        <v>88386939.620000005</v>
      </c>
      <c r="E362" s="195">
        <f>'Проверочная  таблица'!AL38</f>
        <v>88386939.620000005</v>
      </c>
      <c r="F362" s="195">
        <f>'Проверочная  таблица'!AR38</f>
        <v>22763727.43</v>
      </c>
      <c r="G362" s="276">
        <f>D362-E362</f>
        <v>0</v>
      </c>
      <c r="H362" s="280">
        <f t="shared" ref="H362:H376" si="204">IF(F362&gt;E362,1,0)</f>
        <v>0</v>
      </c>
      <c r="I362" s="280">
        <f t="shared" si="187"/>
        <v>0</v>
      </c>
    </row>
    <row r="363" spans="1:17" x14ac:dyDescent="0.25">
      <c r="A363" s="378"/>
      <c r="B363" s="379" t="s">
        <v>161</v>
      </c>
      <c r="C363" s="380"/>
      <c r="D363" s="382">
        <v>0</v>
      </c>
      <c r="E363" s="382">
        <v>0</v>
      </c>
      <c r="F363" s="382">
        <v>0</v>
      </c>
      <c r="G363" s="382">
        <v>0</v>
      </c>
      <c r="H363" s="280">
        <f t="shared" si="204"/>
        <v>0</v>
      </c>
      <c r="I363" s="280">
        <f t="shared" si="187"/>
        <v>0</v>
      </c>
    </row>
    <row r="364" spans="1:17" x14ac:dyDescent="0.25">
      <c r="A364" s="378"/>
      <c r="B364" s="379" t="s">
        <v>162</v>
      </c>
      <c r="C364" s="612"/>
      <c r="D364" s="382">
        <f>D362-D363</f>
        <v>88386939.620000005</v>
      </c>
      <c r="E364" s="382">
        <f>E362-E363</f>
        <v>88386939.620000005</v>
      </c>
      <c r="F364" s="382">
        <f>F362-F363</f>
        <v>22763727.43</v>
      </c>
      <c r="G364" s="382">
        <f>D364-E364</f>
        <v>0</v>
      </c>
      <c r="H364" s="280">
        <f t="shared" si="204"/>
        <v>0</v>
      </c>
      <c r="I364" s="280">
        <f t="shared" si="187"/>
        <v>0</v>
      </c>
    </row>
    <row r="365" spans="1:17" ht="145.19999999999999" x14ac:dyDescent="0.25">
      <c r="A365" s="188"/>
      <c r="B365" s="838" t="s">
        <v>271</v>
      </c>
      <c r="C365" s="145" t="s">
        <v>272</v>
      </c>
      <c r="D365" s="611">
        <f>3000000+0.01</f>
        <v>3000000.01</v>
      </c>
      <c r="E365" s="195">
        <f>'Проверочная  таблица'!HH38</f>
        <v>3000000.01</v>
      </c>
      <c r="F365" s="195">
        <f>'Проверочная  таблица'!HQ38</f>
        <v>3000000.01</v>
      </c>
      <c r="G365" s="276">
        <f>D365-E365</f>
        <v>0</v>
      </c>
      <c r="H365" s="280">
        <f t="shared" si="204"/>
        <v>0</v>
      </c>
      <c r="I365" s="280">
        <f t="shared" si="187"/>
        <v>0</v>
      </c>
      <c r="J365" s="820">
        <f>D365+D368</f>
        <v>3342500</v>
      </c>
    </row>
    <row r="366" spans="1:17" x14ac:dyDescent="0.25">
      <c r="A366" s="378"/>
      <c r="B366" s="379" t="s">
        <v>161</v>
      </c>
      <c r="C366" s="613"/>
      <c r="D366" s="382">
        <f>D365</f>
        <v>3000000.01</v>
      </c>
      <c r="E366" s="382">
        <f>E365</f>
        <v>3000000.01</v>
      </c>
      <c r="F366" s="382">
        <f>F365</f>
        <v>3000000.01</v>
      </c>
      <c r="G366" s="382">
        <f>G365</f>
        <v>0</v>
      </c>
      <c r="H366" s="280">
        <f t="shared" si="204"/>
        <v>0</v>
      </c>
      <c r="I366" s="280">
        <f t="shared" si="187"/>
        <v>0</v>
      </c>
    </row>
    <row r="367" spans="1:17" x14ac:dyDescent="0.25">
      <c r="A367" s="378"/>
      <c r="B367" s="379" t="s">
        <v>162</v>
      </c>
      <c r="C367" s="612"/>
      <c r="D367" s="382">
        <f>D365-D366</f>
        <v>0</v>
      </c>
      <c r="E367" s="382">
        <f>E365-E366</f>
        <v>0</v>
      </c>
      <c r="F367" s="382">
        <f>F365-F366</f>
        <v>0</v>
      </c>
      <c r="G367" s="382">
        <f>D367-E367</f>
        <v>0</v>
      </c>
      <c r="H367" s="280">
        <f t="shared" si="204"/>
        <v>0</v>
      </c>
      <c r="I367" s="280">
        <f t="shared" si="187"/>
        <v>0</v>
      </c>
    </row>
    <row r="368" spans="1:17" x14ac:dyDescent="0.25">
      <c r="A368" s="689"/>
      <c r="B368" s="690" t="s">
        <v>66</v>
      </c>
      <c r="C368" s="676" t="s">
        <v>272</v>
      </c>
      <c r="D368" s="691">
        <f>342500-0.01</f>
        <v>342499.99</v>
      </c>
      <c r="E368" s="688">
        <f>'Проверочная  таблица'!HI38</f>
        <v>342499.99</v>
      </c>
      <c r="F368" s="688">
        <f>'Проверочная  таблица'!HR38</f>
        <v>342499.99</v>
      </c>
      <c r="G368" s="692">
        <f>D368-E368</f>
        <v>0</v>
      </c>
      <c r="H368" s="280">
        <f t="shared" si="204"/>
        <v>0</v>
      </c>
      <c r="I368" s="280">
        <f t="shared" si="187"/>
        <v>0</v>
      </c>
    </row>
    <row r="369" spans="1:17" x14ac:dyDescent="0.25">
      <c r="A369" s="689"/>
      <c r="B369" s="693" t="s">
        <v>161</v>
      </c>
      <c r="C369" s="694"/>
      <c r="D369" s="692">
        <f>D368</f>
        <v>342499.99</v>
      </c>
      <c r="E369" s="692">
        <f>E368</f>
        <v>342499.99</v>
      </c>
      <c r="F369" s="692">
        <f>F368</f>
        <v>342499.99</v>
      </c>
      <c r="G369" s="692">
        <f>G368</f>
        <v>0</v>
      </c>
      <c r="H369" s="280">
        <f t="shared" si="204"/>
        <v>0</v>
      </c>
      <c r="I369" s="280">
        <f t="shared" si="187"/>
        <v>0</v>
      </c>
    </row>
    <row r="370" spans="1:17" x14ac:dyDescent="0.25">
      <c r="A370" s="689"/>
      <c r="B370" s="693" t="s">
        <v>162</v>
      </c>
      <c r="C370" s="694"/>
      <c r="D370" s="692">
        <f>D368-D369</f>
        <v>0</v>
      </c>
      <c r="E370" s="692">
        <f>E368-E369</f>
        <v>0</v>
      </c>
      <c r="F370" s="692">
        <f>F368-F369</f>
        <v>0</v>
      </c>
      <c r="G370" s="692">
        <f>D370-E370</f>
        <v>0</v>
      </c>
      <c r="H370" s="280">
        <f t="shared" si="204"/>
        <v>0</v>
      </c>
      <c r="I370" s="280">
        <f t="shared" si="187"/>
        <v>0</v>
      </c>
    </row>
    <row r="371" spans="1:17" ht="158.4" x14ac:dyDescent="0.25">
      <c r="A371" s="188"/>
      <c r="B371" s="838" t="s">
        <v>273</v>
      </c>
      <c r="C371" s="145" t="s">
        <v>274</v>
      </c>
      <c r="D371" s="611">
        <v>200000</v>
      </c>
      <c r="E371" s="195">
        <f>'Проверочная  таблица'!HJ38</f>
        <v>200000</v>
      </c>
      <c r="F371" s="195">
        <f>'Проверочная  таблица'!HS38</f>
        <v>200000</v>
      </c>
      <c r="G371" s="276">
        <f>D371-E371</f>
        <v>0</v>
      </c>
      <c r="H371" s="280">
        <f t="shared" si="204"/>
        <v>0</v>
      </c>
      <c r="I371" s="280">
        <f t="shared" si="187"/>
        <v>0</v>
      </c>
      <c r="J371" s="820">
        <f>D371+D374</f>
        <v>440900</v>
      </c>
    </row>
    <row r="372" spans="1:17" x14ac:dyDescent="0.25">
      <c r="A372" s="378"/>
      <c r="B372" s="379" t="s">
        <v>161</v>
      </c>
      <c r="C372" s="613"/>
      <c r="D372" s="382">
        <f>D371</f>
        <v>200000</v>
      </c>
      <c r="E372" s="382">
        <f>E371</f>
        <v>200000</v>
      </c>
      <c r="F372" s="382">
        <f>F371</f>
        <v>200000</v>
      </c>
      <c r="G372" s="382">
        <f>G371</f>
        <v>0</v>
      </c>
      <c r="H372" s="280">
        <f t="shared" si="204"/>
        <v>0</v>
      </c>
      <c r="I372" s="280">
        <f t="shared" si="187"/>
        <v>0</v>
      </c>
    </row>
    <row r="373" spans="1:17" x14ac:dyDescent="0.25">
      <c r="A373" s="378"/>
      <c r="B373" s="379" t="s">
        <v>162</v>
      </c>
      <c r="C373" s="380"/>
      <c r="D373" s="382">
        <f>D371-D372</f>
        <v>0</v>
      </c>
      <c r="E373" s="382">
        <f>E371-E372</f>
        <v>0</v>
      </c>
      <c r="F373" s="382">
        <f>F371-F372</f>
        <v>0</v>
      </c>
      <c r="G373" s="382">
        <f>D373-E373</f>
        <v>0</v>
      </c>
      <c r="H373" s="280">
        <f t="shared" si="204"/>
        <v>0</v>
      </c>
      <c r="I373" s="280">
        <f t="shared" si="187"/>
        <v>0</v>
      </c>
    </row>
    <row r="374" spans="1:17" x14ac:dyDescent="0.25">
      <c r="A374" s="689"/>
      <c r="B374" s="690" t="s">
        <v>66</v>
      </c>
      <c r="C374" s="676" t="s">
        <v>274</v>
      </c>
      <c r="D374" s="691">
        <v>240900</v>
      </c>
      <c r="E374" s="688">
        <f>'Проверочная  таблица'!HK38</f>
        <v>240900</v>
      </c>
      <c r="F374" s="688">
        <f>'Проверочная  таблица'!HT38</f>
        <v>240900</v>
      </c>
      <c r="G374" s="692">
        <f>D374-E374</f>
        <v>0</v>
      </c>
      <c r="H374" s="280">
        <f t="shared" si="204"/>
        <v>0</v>
      </c>
      <c r="I374" s="280">
        <f t="shared" si="187"/>
        <v>0</v>
      </c>
    </row>
    <row r="375" spans="1:17" x14ac:dyDescent="0.25">
      <c r="A375" s="689"/>
      <c r="B375" s="693" t="s">
        <v>161</v>
      </c>
      <c r="C375" s="694"/>
      <c r="D375" s="692">
        <f>D374</f>
        <v>240900</v>
      </c>
      <c r="E375" s="692">
        <f>E374</f>
        <v>240900</v>
      </c>
      <c r="F375" s="692">
        <f>F374</f>
        <v>240900</v>
      </c>
      <c r="G375" s="692">
        <f>G374</f>
        <v>0</v>
      </c>
      <c r="H375" s="280">
        <f t="shared" si="204"/>
        <v>0</v>
      </c>
      <c r="I375" s="280">
        <f t="shared" si="187"/>
        <v>0</v>
      </c>
    </row>
    <row r="376" spans="1:17" x14ac:dyDescent="0.25">
      <c r="A376" s="689"/>
      <c r="B376" s="693" t="s">
        <v>162</v>
      </c>
      <c r="C376" s="694"/>
      <c r="D376" s="692">
        <f>D374-D375</f>
        <v>0</v>
      </c>
      <c r="E376" s="692">
        <f>E374-E375</f>
        <v>0</v>
      </c>
      <c r="F376" s="692">
        <f>F374-F375</f>
        <v>0</v>
      </c>
      <c r="G376" s="692">
        <f>D376-E376</f>
        <v>0</v>
      </c>
      <c r="H376" s="280">
        <f t="shared" si="204"/>
        <v>0</v>
      </c>
      <c r="I376" s="280">
        <f t="shared" si="187"/>
        <v>0</v>
      </c>
    </row>
    <row r="377" spans="1:17" ht="118.8" x14ac:dyDescent="0.25">
      <c r="A377" s="188"/>
      <c r="B377" s="838" t="s">
        <v>353</v>
      </c>
      <c r="C377" s="145" t="s">
        <v>366</v>
      </c>
      <c r="D377" s="611">
        <f>7330100+0.01-0.01-0.04</f>
        <v>7330099.96</v>
      </c>
      <c r="E377" s="195">
        <f>'Проверочная  таблица'!GB38</f>
        <v>7330099.9600000009</v>
      </c>
      <c r="F377" s="195">
        <f>'Проверочная  таблица'!GE38</f>
        <v>6975924.9400000004</v>
      </c>
      <c r="G377" s="276">
        <f>D377-E377</f>
        <v>0</v>
      </c>
      <c r="H377" s="280">
        <f t="shared" ref="H377:H382" si="205">IF(F377&gt;E377,1,0)</f>
        <v>0</v>
      </c>
      <c r="I377" s="280">
        <f t="shared" ref="I377:I382" si="206">IF(G377&lt;0,1,0)</f>
        <v>0</v>
      </c>
      <c r="J377" s="961">
        <f>D377+D380</f>
        <v>26178800</v>
      </c>
    </row>
    <row r="378" spans="1:17" x14ac:dyDescent="0.25">
      <c r="A378" s="378"/>
      <c r="B378" s="379" t="s">
        <v>161</v>
      </c>
      <c r="C378" s="613"/>
      <c r="D378" s="382">
        <f>D377</f>
        <v>7330099.96</v>
      </c>
      <c r="E378" s="382">
        <f>E377</f>
        <v>7330099.9600000009</v>
      </c>
      <c r="F378" s="382">
        <f>F377</f>
        <v>6975924.9400000004</v>
      </c>
      <c r="G378" s="382">
        <f>G377</f>
        <v>0</v>
      </c>
      <c r="H378" s="280">
        <f t="shared" si="205"/>
        <v>0</v>
      </c>
      <c r="I378" s="280">
        <f t="shared" si="206"/>
        <v>0</v>
      </c>
      <c r="J378" s="1004"/>
    </row>
    <row r="379" spans="1:17" x14ac:dyDescent="0.25">
      <c r="A379" s="378"/>
      <c r="B379" s="379" t="s">
        <v>162</v>
      </c>
      <c r="C379" s="380"/>
      <c r="D379" s="382">
        <f>D377-D378</f>
        <v>0</v>
      </c>
      <c r="E379" s="382">
        <f>E377-E378</f>
        <v>0</v>
      </c>
      <c r="F379" s="382">
        <f>F377-F378</f>
        <v>0</v>
      </c>
      <c r="G379" s="382">
        <f>D379-E379</f>
        <v>0</v>
      </c>
      <c r="H379" s="280">
        <f t="shared" si="205"/>
        <v>0</v>
      </c>
      <c r="I379" s="280">
        <f t="shared" si="206"/>
        <v>0</v>
      </c>
      <c r="J379" s="823"/>
    </row>
    <row r="380" spans="1:17" x14ac:dyDescent="0.25">
      <c r="A380" s="689"/>
      <c r="B380" s="690" t="s">
        <v>66</v>
      </c>
      <c r="C380" s="676" t="s">
        <v>366</v>
      </c>
      <c r="D380" s="691">
        <f>18848700-0.01+0.01+0.04</f>
        <v>18848700.039999999</v>
      </c>
      <c r="E380" s="688">
        <f>'Проверочная  таблица'!GC38</f>
        <v>18848700.039999999</v>
      </c>
      <c r="F380" s="688">
        <f>'Проверочная  таблица'!GF38</f>
        <v>17937970.479999997</v>
      </c>
      <c r="G380" s="692">
        <f>D380-E380</f>
        <v>0</v>
      </c>
      <c r="H380" s="280">
        <f t="shared" si="205"/>
        <v>0</v>
      </c>
      <c r="I380" s="280">
        <f t="shared" si="206"/>
        <v>0</v>
      </c>
      <c r="J380" s="1005"/>
    </row>
    <row r="381" spans="1:17" x14ac:dyDescent="0.25">
      <c r="A381" s="689"/>
      <c r="B381" s="693" t="s">
        <v>161</v>
      </c>
      <c r="C381" s="694"/>
      <c r="D381" s="692">
        <f>D380</f>
        <v>18848700.039999999</v>
      </c>
      <c r="E381" s="692">
        <f>E380</f>
        <v>18848700.039999999</v>
      </c>
      <c r="F381" s="692">
        <f>F380</f>
        <v>17937970.479999997</v>
      </c>
      <c r="G381" s="692">
        <f>G380</f>
        <v>0</v>
      </c>
      <c r="H381" s="280">
        <f t="shared" si="205"/>
        <v>0</v>
      </c>
      <c r="I381" s="280">
        <f t="shared" si="206"/>
        <v>0</v>
      </c>
      <c r="J381" s="823"/>
    </row>
    <row r="382" spans="1:17" x14ac:dyDescent="0.25">
      <c r="A382" s="689"/>
      <c r="B382" s="693" t="s">
        <v>162</v>
      </c>
      <c r="C382" s="694"/>
      <c r="D382" s="692">
        <f>D380-D381</f>
        <v>0</v>
      </c>
      <c r="E382" s="692">
        <f>E380-E381</f>
        <v>0</v>
      </c>
      <c r="F382" s="692">
        <f>F380-F381</f>
        <v>0</v>
      </c>
      <c r="G382" s="692">
        <f>D382-E382</f>
        <v>0</v>
      </c>
      <c r="H382" s="280">
        <f t="shared" si="205"/>
        <v>0</v>
      </c>
      <c r="I382" s="280">
        <f t="shared" si="206"/>
        <v>0</v>
      </c>
      <c r="J382" s="823"/>
      <c r="K382" s="837"/>
      <c r="L382" s="837"/>
      <c r="M382" s="837"/>
      <c r="N382" s="837"/>
      <c r="O382" s="837"/>
      <c r="P382" s="837"/>
      <c r="Q382" s="837"/>
    </row>
    <row r="383" spans="1:17" ht="145.19999999999999" x14ac:dyDescent="0.25">
      <c r="A383" s="188"/>
      <c r="B383" s="838" t="s">
        <v>370</v>
      </c>
      <c r="C383" s="145" t="s">
        <v>369</v>
      </c>
      <c r="D383" s="611">
        <v>1703000</v>
      </c>
      <c r="E383" s="195">
        <f>'Проверочная  таблица'!FV37</f>
        <v>1703000</v>
      </c>
      <c r="F383" s="195">
        <f>'Проверочная  таблица'!FY37</f>
        <v>1492266.0600000005</v>
      </c>
      <c r="G383" s="276">
        <f>D383-E383</f>
        <v>0</v>
      </c>
      <c r="H383" s="280">
        <f t="shared" ref="H383:H388" si="207">IF(F383&gt;E383,1,0)</f>
        <v>0</v>
      </c>
      <c r="I383" s="280">
        <f t="shared" ref="I383:I388" si="208">IF(G383&lt;0,1,0)</f>
        <v>0</v>
      </c>
      <c r="J383" s="820">
        <f>D383+D386</f>
        <v>6082100</v>
      </c>
      <c r="K383" s="837"/>
      <c r="L383" s="837"/>
      <c r="M383" s="837"/>
      <c r="N383" s="837"/>
      <c r="O383" s="837"/>
      <c r="P383" s="837"/>
      <c r="Q383" s="837"/>
    </row>
    <row r="384" spans="1:17" x14ac:dyDescent="0.25">
      <c r="A384" s="378"/>
      <c r="B384" s="379" t="s">
        <v>161</v>
      </c>
      <c r="C384" s="613"/>
      <c r="D384" s="382">
        <f>D383</f>
        <v>1703000</v>
      </c>
      <c r="E384" s="382">
        <f>E383</f>
        <v>1703000</v>
      </c>
      <c r="F384" s="382">
        <f>F383</f>
        <v>1492266.0600000005</v>
      </c>
      <c r="G384" s="382">
        <f>G383</f>
        <v>0</v>
      </c>
      <c r="H384" s="280">
        <f t="shared" si="207"/>
        <v>0</v>
      </c>
      <c r="I384" s="280">
        <f t="shared" si="208"/>
        <v>0</v>
      </c>
      <c r="K384" s="837"/>
      <c r="L384" s="837"/>
      <c r="M384" s="837"/>
      <c r="N384" s="837"/>
      <c r="O384" s="837"/>
      <c r="P384" s="837"/>
      <c r="Q384" s="837"/>
    </row>
    <row r="385" spans="1:17" x14ac:dyDescent="0.25">
      <c r="A385" s="378"/>
      <c r="B385" s="379" t="s">
        <v>162</v>
      </c>
      <c r="C385" s="380"/>
      <c r="D385" s="382">
        <f>D383-D384</f>
        <v>0</v>
      </c>
      <c r="E385" s="382">
        <f>E383-E384</f>
        <v>0</v>
      </c>
      <c r="F385" s="382">
        <f>F383-F384</f>
        <v>0</v>
      </c>
      <c r="G385" s="382">
        <f>D385-E385</f>
        <v>0</v>
      </c>
      <c r="H385" s="280">
        <f t="shared" si="207"/>
        <v>0</v>
      </c>
      <c r="I385" s="280">
        <f t="shared" si="208"/>
        <v>0</v>
      </c>
      <c r="K385" s="837"/>
      <c r="L385" s="837"/>
      <c r="M385" s="837"/>
      <c r="N385" s="837"/>
      <c r="O385" s="837"/>
      <c r="P385" s="837"/>
      <c r="Q385" s="837"/>
    </row>
    <row r="386" spans="1:17" x14ac:dyDescent="0.25">
      <c r="A386" s="689"/>
      <c r="B386" s="690" t="s">
        <v>66</v>
      </c>
      <c r="C386" s="676" t="s">
        <v>369</v>
      </c>
      <c r="D386" s="691">
        <v>4379100</v>
      </c>
      <c r="E386" s="688">
        <f>'Проверочная  таблица'!FW37</f>
        <v>4379100</v>
      </c>
      <c r="F386" s="688">
        <f>'Проверочная  таблица'!FZ37</f>
        <v>3837218.05</v>
      </c>
      <c r="G386" s="692">
        <f>D386-E386</f>
        <v>0</v>
      </c>
      <c r="H386" s="280">
        <f t="shared" si="207"/>
        <v>0</v>
      </c>
      <c r="I386" s="280">
        <f t="shared" si="208"/>
        <v>0</v>
      </c>
      <c r="J386" s="824"/>
      <c r="K386" s="837"/>
      <c r="L386" s="837"/>
      <c r="M386" s="837"/>
      <c r="N386" s="837"/>
      <c r="O386" s="837"/>
      <c r="P386" s="837"/>
      <c r="Q386" s="837"/>
    </row>
    <row r="387" spans="1:17" x14ac:dyDescent="0.25">
      <c r="A387" s="689"/>
      <c r="B387" s="693" t="s">
        <v>161</v>
      </c>
      <c r="C387" s="694"/>
      <c r="D387" s="692">
        <f>D386</f>
        <v>4379100</v>
      </c>
      <c r="E387" s="692">
        <f>E386</f>
        <v>4379100</v>
      </c>
      <c r="F387" s="692">
        <f>F386</f>
        <v>3837218.05</v>
      </c>
      <c r="G387" s="692">
        <f>G386</f>
        <v>0</v>
      </c>
      <c r="H387" s="280">
        <f t="shared" si="207"/>
        <v>0</v>
      </c>
      <c r="I387" s="280">
        <f t="shared" si="208"/>
        <v>0</v>
      </c>
      <c r="K387" s="837"/>
      <c r="L387" s="837"/>
      <c r="M387" s="837"/>
      <c r="N387" s="837"/>
      <c r="O387" s="837"/>
      <c r="P387" s="837"/>
      <c r="Q387" s="837"/>
    </row>
    <row r="388" spans="1:17" x14ac:dyDescent="0.25">
      <c r="A388" s="689"/>
      <c r="B388" s="693" t="s">
        <v>162</v>
      </c>
      <c r="C388" s="694"/>
      <c r="D388" s="692">
        <f>D386-D387</f>
        <v>0</v>
      </c>
      <c r="E388" s="692">
        <f>E386-E387</f>
        <v>0</v>
      </c>
      <c r="F388" s="692">
        <f>F386-F387</f>
        <v>0</v>
      </c>
      <c r="G388" s="692">
        <f>D388-E388</f>
        <v>0</v>
      </c>
      <c r="H388" s="280">
        <f t="shared" si="207"/>
        <v>0</v>
      </c>
      <c r="I388" s="280">
        <f t="shared" si="208"/>
        <v>0</v>
      </c>
      <c r="J388" s="823"/>
      <c r="K388" s="837"/>
      <c r="L388" s="837"/>
      <c r="M388" s="837"/>
      <c r="N388" s="837"/>
      <c r="O388" s="837"/>
      <c r="P388" s="837"/>
      <c r="Q388" s="837"/>
    </row>
    <row r="389" spans="1:17" ht="118.8" hidden="1" x14ac:dyDescent="0.25">
      <c r="A389" s="1147"/>
      <c r="B389" s="838" t="s">
        <v>367</v>
      </c>
      <c r="C389" s="145" t="s">
        <v>371</v>
      </c>
      <c r="D389" s="611"/>
      <c r="E389" s="195">
        <f>'Проверочная  таблица'!HL38</f>
        <v>0</v>
      </c>
      <c r="F389" s="195">
        <f>'Проверочная  таблица'!HU38</f>
        <v>0</v>
      </c>
      <c r="G389" s="276">
        <f>D389-E389</f>
        <v>0</v>
      </c>
      <c r="H389" s="280">
        <f t="shared" ref="H389:H394" si="209">IF(F389&gt;E389,1,0)</f>
        <v>0</v>
      </c>
      <c r="I389" s="280">
        <f t="shared" ref="I389:I394" si="210">IF(G389&lt;0,1,0)</f>
        <v>0</v>
      </c>
      <c r="J389" s="820">
        <f>D389+D392</f>
        <v>0</v>
      </c>
      <c r="K389" s="837"/>
      <c r="L389" s="837"/>
      <c r="M389" s="837"/>
      <c r="N389" s="837"/>
      <c r="O389" s="837"/>
      <c r="P389" s="837"/>
      <c r="Q389" s="837"/>
    </row>
    <row r="390" spans="1:17" hidden="1" x14ac:dyDescent="0.25">
      <c r="A390" s="378"/>
      <c r="B390" s="379" t="s">
        <v>161</v>
      </c>
      <c r="C390" s="613"/>
      <c r="D390" s="382">
        <f>D389</f>
        <v>0</v>
      </c>
      <c r="E390" s="382">
        <f>E389</f>
        <v>0</v>
      </c>
      <c r="F390" s="382">
        <f>F389</f>
        <v>0</v>
      </c>
      <c r="G390" s="382">
        <f>G389</f>
        <v>0</v>
      </c>
      <c r="H390" s="280">
        <f t="shared" si="209"/>
        <v>0</v>
      </c>
      <c r="I390" s="280">
        <f t="shared" si="210"/>
        <v>0</v>
      </c>
      <c r="K390" s="837"/>
      <c r="L390" s="837"/>
      <c r="M390" s="837"/>
      <c r="N390" s="837"/>
      <c r="O390" s="837"/>
      <c r="P390" s="837"/>
      <c r="Q390" s="837"/>
    </row>
    <row r="391" spans="1:17" hidden="1" x14ac:dyDescent="0.25">
      <c r="A391" s="378"/>
      <c r="B391" s="379" t="s">
        <v>162</v>
      </c>
      <c r="C391" s="380"/>
      <c r="D391" s="382">
        <f>D389-D390</f>
        <v>0</v>
      </c>
      <c r="E391" s="382">
        <f>E389-E390</f>
        <v>0</v>
      </c>
      <c r="F391" s="382">
        <f>F389-F390</f>
        <v>0</v>
      </c>
      <c r="G391" s="382">
        <f>D391-E391</f>
        <v>0</v>
      </c>
      <c r="H391" s="280">
        <f t="shared" si="209"/>
        <v>0</v>
      </c>
      <c r="I391" s="280">
        <f t="shared" si="210"/>
        <v>0</v>
      </c>
      <c r="K391" s="837"/>
      <c r="L391" s="837"/>
      <c r="M391" s="837"/>
      <c r="N391" s="837"/>
      <c r="O391" s="837"/>
      <c r="P391" s="837"/>
      <c r="Q391" s="837"/>
    </row>
    <row r="392" spans="1:17" hidden="1" x14ac:dyDescent="0.25">
      <c r="A392" s="689"/>
      <c r="B392" s="690" t="s">
        <v>66</v>
      </c>
      <c r="C392" s="676" t="s">
        <v>371</v>
      </c>
      <c r="D392" s="691"/>
      <c r="E392" s="688">
        <f>'Проверочная  таблица'!HM38</f>
        <v>0</v>
      </c>
      <c r="F392" s="688">
        <f>'Проверочная  таблица'!HV38</f>
        <v>0</v>
      </c>
      <c r="G392" s="692">
        <f>D392-E392</f>
        <v>0</v>
      </c>
      <c r="H392" s="280">
        <f t="shared" si="209"/>
        <v>0</v>
      </c>
      <c r="I392" s="280">
        <f t="shared" si="210"/>
        <v>0</v>
      </c>
      <c r="J392" s="824"/>
      <c r="K392" s="837"/>
      <c r="L392" s="837"/>
      <c r="M392" s="837"/>
      <c r="N392" s="837"/>
      <c r="O392" s="837"/>
      <c r="P392" s="837"/>
      <c r="Q392" s="837"/>
    </row>
    <row r="393" spans="1:17" hidden="1" x14ac:dyDescent="0.25">
      <c r="A393" s="689"/>
      <c r="B393" s="693" t="s">
        <v>161</v>
      </c>
      <c r="C393" s="694"/>
      <c r="D393" s="692">
        <f>D392</f>
        <v>0</v>
      </c>
      <c r="E393" s="692">
        <f>E392</f>
        <v>0</v>
      </c>
      <c r="F393" s="692">
        <f>F392</f>
        <v>0</v>
      </c>
      <c r="G393" s="692">
        <f>G392</f>
        <v>0</v>
      </c>
      <c r="H393" s="280">
        <f t="shared" si="209"/>
        <v>0</v>
      </c>
      <c r="I393" s="280">
        <f t="shared" si="210"/>
        <v>0</v>
      </c>
      <c r="K393" s="837"/>
      <c r="L393" s="837"/>
      <c r="M393" s="837"/>
      <c r="N393" s="837"/>
      <c r="O393" s="837"/>
      <c r="P393" s="837"/>
      <c r="Q393" s="837"/>
    </row>
    <row r="394" spans="1:17" hidden="1" x14ac:dyDescent="0.25">
      <c r="A394" s="689"/>
      <c r="B394" s="693" t="s">
        <v>162</v>
      </c>
      <c r="C394" s="694"/>
      <c r="D394" s="692">
        <f>D392-D393</f>
        <v>0</v>
      </c>
      <c r="E394" s="692">
        <f>E392-E393</f>
        <v>0</v>
      </c>
      <c r="F394" s="692">
        <f>F392-F393</f>
        <v>0</v>
      </c>
      <c r="G394" s="692">
        <f>D394-E394</f>
        <v>0</v>
      </c>
      <c r="H394" s="280">
        <f t="shared" si="209"/>
        <v>0</v>
      </c>
      <c r="I394" s="280">
        <f t="shared" si="210"/>
        <v>0</v>
      </c>
      <c r="J394" s="823"/>
      <c r="K394" s="837"/>
      <c r="L394" s="837"/>
      <c r="M394" s="837"/>
      <c r="N394" s="837"/>
      <c r="O394" s="837"/>
      <c r="P394" s="837"/>
      <c r="Q394" s="837"/>
    </row>
    <row r="395" spans="1:17" ht="171.6" x14ac:dyDescent="0.25">
      <c r="A395" s="188"/>
      <c r="B395" s="465" t="s">
        <v>249</v>
      </c>
      <c r="C395" s="145" t="s">
        <v>220</v>
      </c>
      <c r="D395" s="275">
        <v>340239930.5</v>
      </c>
      <c r="E395" s="436">
        <f>D395</f>
        <v>340239930.5</v>
      </c>
      <c r="F395" s="383">
        <v>188889116</v>
      </c>
      <c r="G395" s="276">
        <f>D395-E395</f>
        <v>0</v>
      </c>
      <c r="H395" s="280">
        <f>IF(F395&gt;E395,1,0)</f>
        <v>0</v>
      </c>
      <c r="I395" s="280">
        <f t="shared" si="187"/>
        <v>0</v>
      </c>
      <c r="J395" s="823"/>
      <c r="K395" s="837"/>
      <c r="L395" s="837"/>
      <c r="M395" s="837"/>
      <c r="N395" s="837"/>
      <c r="O395" s="837"/>
      <c r="P395" s="837"/>
      <c r="Q395" s="837"/>
    </row>
    <row r="396" spans="1:17" x14ac:dyDescent="0.25">
      <c r="A396" s="378"/>
      <c r="B396" s="379" t="s">
        <v>161</v>
      </c>
      <c r="C396" s="380"/>
      <c r="D396" s="382">
        <f>D395-D397</f>
        <v>184786142.5</v>
      </c>
      <c r="E396" s="382">
        <f>E395-E397</f>
        <v>184786142.5</v>
      </c>
      <c r="F396" s="382">
        <f>F395-F397</f>
        <v>150041729</v>
      </c>
      <c r="G396" s="382">
        <f>D396-E396</f>
        <v>0</v>
      </c>
      <c r="H396" s="280">
        <f>IF(F396&gt;E396,1,0)</f>
        <v>0</v>
      </c>
      <c r="I396" s="280">
        <f t="shared" si="187"/>
        <v>0</v>
      </c>
      <c r="J396" s="823"/>
      <c r="K396" s="837"/>
      <c r="L396" s="837"/>
      <c r="M396" s="837"/>
      <c r="N396" s="837"/>
      <c r="O396" s="837"/>
      <c r="P396" s="837"/>
      <c r="Q396" s="837"/>
    </row>
    <row r="397" spans="1:17" x14ac:dyDescent="0.25">
      <c r="A397" s="378"/>
      <c r="B397" s="379" t="s">
        <v>162</v>
      </c>
      <c r="C397" s="380"/>
      <c r="D397" s="381">
        <v>155453788</v>
      </c>
      <c r="E397" s="442">
        <f>D397</f>
        <v>155453788</v>
      </c>
      <c r="F397" s="381">
        <v>38847387</v>
      </c>
      <c r="G397" s="382">
        <f>D397-E397</f>
        <v>0</v>
      </c>
      <c r="H397" s="280">
        <f>IF(F397&gt;E397,1,0)</f>
        <v>0</v>
      </c>
      <c r="I397" s="280">
        <f t="shared" si="187"/>
        <v>0</v>
      </c>
    </row>
    <row r="398" spans="1:17" s="837" customFormat="1" x14ac:dyDescent="0.25">
      <c r="A398" s="245"/>
      <c r="B398" s="362"/>
      <c r="C398" s="262"/>
      <c r="D398" s="471"/>
      <c r="E398" s="471"/>
      <c r="F398" s="471"/>
      <c r="G398" s="471"/>
      <c r="H398" s="472"/>
      <c r="I398" s="280">
        <f t="shared" si="187"/>
        <v>0</v>
      </c>
      <c r="J398" s="823"/>
    </row>
    <row r="399" spans="1:17" x14ac:dyDescent="0.25">
      <c r="A399" s="180">
        <v>1101</v>
      </c>
      <c r="B399" s="247" t="s">
        <v>36</v>
      </c>
      <c r="C399" s="186"/>
      <c r="D399" s="278">
        <f>D403+D406+D409+D412</f>
        <v>36083011.109999999</v>
      </c>
      <c r="E399" s="278">
        <f t="shared" ref="E399:G399" si="211">E403+E406+E409+E412</f>
        <v>36034907.939999998</v>
      </c>
      <c r="F399" s="278">
        <f t="shared" si="211"/>
        <v>28393596</v>
      </c>
      <c r="G399" s="278">
        <f t="shared" si="211"/>
        <v>48103.169999999925</v>
      </c>
      <c r="H399" s="280">
        <f t="shared" ref="H399:H405" si="212">IF(F399&gt;E399,1,0)</f>
        <v>0</v>
      </c>
      <c r="I399" s="280">
        <f t="shared" si="187"/>
        <v>0</v>
      </c>
    </row>
    <row r="400" spans="1:17" x14ac:dyDescent="0.25">
      <c r="A400" s="370"/>
      <c r="B400" s="371" t="s">
        <v>161</v>
      </c>
      <c r="C400" s="372"/>
      <c r="D400" s="493">
        <f t="shared" ref="D400:G401" si="213">D404+D407+D410+D413</f>
        <v>32000000</v>
      </c>
      <c r="E400" s="493">
        <f t="shared" si="213"/>
        <v>32000000</v>
      </c>
      <c r="F400" s="493">
        <f t="shared" si="213"/>
        <v>28393596</v>
      </c>
      <c r="G400" s="493">
        <f t="shared" si="213"/>
        <v>0</v>
      </c>
      <c r="H400" s="280">
        <f t="shared" si="212"/>
        <v>0</v>
      </c>
      <c r="I400" s="280">
        <f t="shared" si="187"/>
        <v>0</v>
      </c>
    </row>
    <row r="401" spans="1:10" x14ac:dyDescent="0.25">
      <c r="A401" s="370"/>
      <c r="B401" s="371" t="s">
        <v>162</v>
      </c>
      <c r="C401" s="372"/>
      <c r="D401" s="493">
        <f t="shared" si="213"/>
        <v>4083011.11</v>
      </c>
      <c r="E401" s="493">
        <f t="shared" si="213"/>
        <v>4034907.94</v>
      </c>
      <c r="F401" s="493">
        <f t="shared" si="213"/>
        <v>0</v>
      </c>
      <c r="G401" s="493">
        <f t="shared" si="213"/>
        <v>48103.169999999925</v>
      </c>
      <c r="H401" s="280">
        <f t="shared" si="212"/>
        <v>0</v>
      </c>
      <c r="I401" s="280">
        <f t="shared" si="187"/>
        <v>0</v>
      </c>
    </row>
    <row r="402" spans="1:10" x14ac:dyDescent="0.25">
      <c r="A402" s="188"/>
      <c r="B402" s="464" t="s">
        <v>45</v>
      </c>
      <c r="C402" s="184"/>
      <c r="D402" s="277"/>
      <c r="E402" s="182"/>
      <c r="F402" s="182"/>
      <c r="G402" s="276"/>
      <c r="H402" s="280">
        <f t="shared" si="212"/>
        <v>0</v>
      </c>
      <c r="I402" s="280">
        <f t="shared" si="187"/>
        <v>0</v>
      </c>
    </row>
    <row r="403" spans="1:10" ht="171.6" x14ac:dyDescent="0.25">
      <c r="A403" s="188"/>
      <c r="B403" s="465" t="s">
        <v>249</v>
      </c>
      <c r="C403" s="145" t="s">
        <v>220</v>
      </c>
      <c r="D403" s="275">
        <v>32000000</v>
      </c>
      <c r="E403" s="436">
        <f>D403</f>
        <v>32000000</v>
      </c>
      <c r="F403" s="383">
        <v>28393596</v>
      </c>
      <c r="G403" s="276">
        <f t="shared" ref="G403:G414" si="214">D403-E403</f>
        <v>0</v>
      </c>
      <c r="H403" s="280">
        <f t="shared" si="212"/>
        <v>0</v>
      </c>
      <c r="I403" s="280">
        <f t="shared" ref="I403:I461" si="215">IF(G403&lt;0,1,0)</f>
        <v>0</v>
      </c>
    </row>
    <row r="404" spans="1:10" x14ac:dyDescent="0.25">
      <c r="A404" s="378"/>
      <c r="B404" s="379" t="s">
        <v>161</v>
      </c>
      <c r="C404" s="380"/>
      <c r="D404" s="382">
        <f>D403-D405</f>
        <v>32000000</v>
      </c>
      <c r="E404" s="382">
        <f t="shared" ref="E404:F404" si="216">E403-E405</f>
        <v>32000000</v>
      </c>
      <c r="F404" s="382">
        <f t="shared" si="216"/>
        <v>28393596</v>
      </c>
      <c r="G404" s="382">
        <f t="shared" si="214"/>
        <v>0</v>
      </c>
      <c r="H404" s="280">
        <f t="shared" si="212"/>
        <v>0</v>
      </c>
      <c r="I404" s="280">
        <f t="shared" si="215"/>
        <v>0</v>
      </c>
    </row>
    <row r="405" spans="1:10" x14ac:dyDescent="0.25">
      <c r="A405" s="378"/>
      <c r="B405" s="379" t="s">
        <v>162</v>
      </c>
      <c r="C405" s="380"/>
      <c r="D405" s="442"/>
      <c r="E405" s="442"/>
      <c r="F405" s="442"/>
      <c r="G405" s="382">
        <f t="shared" si="214"/>
        <v>0</v>
      </c>
      <c r="H405" s="280">
        <f t="shared" si="212"/>
        <v>0</v>
      </c>
      <c r="I405" s="280">
        <f t="shared" si="215"/>
        <v>0</v>
      </c>
    </row>
    <row r="406" spans="1:10" ht="184.8" x14ac:dyDescent="0.25">
      <c r="A406" s="188"/>
      <c r="B406" s="465" t="s">
        <v>666</v>
      </c>
      <c r="C406" s="246" t="s">
        <v>792</v>
      </c>
      <c r="D406" s="197">
        <v>570111.11</v>
      </c>
      <c r="E406" s="195">
        <f>'Проверочная  таблица'!OV38</f>
        <v>570111.11</v>
      </c>
      <c r="F406" s="195">
        <f>'Проверочная  таблица'!PC38</f>
        <v>0</v>
      </c>
      <c r="G406" s="276">
        <f t="shared" si="214"/>
        <v>0</v>
      </c>
      <c r="H406" s="280">
        <f t="shared" ref="H406:H411" si="217">IF(F406&gt;E406,1,0)</f>
        <v>0</v>
      </c>
      <c r="I406" s="280">
        <f t="shared" ref="I406:I414" si="218">IF(G406&lt;0,1,0)</f>
        <v>0</v>
      </c>
      <c r="J406" s="820">
        <f>D406+D409</f>
        <v>2036111.1099999999</v>
      </c>
    </row>
    <row r="407" spans="1:10" x14ac:dyDescent="0.25">
      <c r="A407" s="378"/>
      <c r="B407" s="379" t="s">
        <v>161</v>
      </c>
      <c r="C407" s="380"/>
      <c r="D407" s="381">
        <v>0</v>
      </c>
      <c r="E407" s="381">
        <v>0</v>
      </c>
      <c r="F407" s="381">
        <v>0</v>
      </c>
      <c r="G407" s="382">
        <f t="shared" si="214"/>
        <v>0</v>
      </c>
      <c r="H407" s="280">
        <f t="shared" si="217"/>
        <v>0</v>
      </c>
      <c r="I407" s="280">
        <f t="shared" si="218"/>
        <v>0</v>
      </c>
      <c r="J407" s="820"/>
    </row>
    <row r="408" spans="1:10" x14ac:dyDescent="0.25">
      <c r="A408" s="378"/>
      <c r="B408" s="379" t="s">
        <v>162</v>
      </c>
      <c r="C408" s="380"/>
      <c r="D408" s="382">
        <f>D406-D407</f>
        <v>570111.11</v>
      </c>
      <c r="E408" s="382">
        <f>E406-E407</f>
        <v>570111.11</v>
      </c>
      <c r="F408" s="382">
        <f>F406-F407</f>
        <v>0</v>
      </c>
      <c r="G408" s="382">
        <f t="shared" si="214"/>
        <v>0</v>
      </c>
      <c r="H408" s="280">
        <f t="shared" si="217"/>
        <v>0</v>
      </c>
      <c r="I408" s="280">
        <f t="shared" si="218"/>
        <v>0</v>
      </c>
      <c r="J408" s="820"/>
    </row>
    <row r="409" spans="1:10" x14ac:dyDescent="0.25">
      <c r="A409" s="689"/>
      <c r="B409" s="690" t="s">
        <v>66</v>
      </c>
      <c r="C409" s="708" t="s">
        <v>792</v>
      </c>
      <c r="D409" s="691">
        <v>1466000</v>
      </c>
      <c r="E409" s="688">
        <f>'Проверочная  таблица'!OW38</f>
        <v>1466000</v>
      </c>
      <c r="F409" s="688">
        <f>'Проверочная  таблица'!PD38</f>
        <v>0</v>
      </c>
      <c r="G409" s="692">
        <f t="shared" si="214"/>
        <v>0</v>
      </c>
      <c r="H409" s="280">
        <f t="shared" si="217"/>
        <v>0</v>
      </c>
      <c r="I409" s="280">
        <f t="shared" si="218"/>
        <v>0</v>
      </c>
      <c r="J409" s="820"/>
    </row>
    <row r="410" spans="1:10" x14ac:dyDescent="0.25">
      <c r="A410" s="689"/>
      <c r="B410" s="693" t="s">
        <v>161</v>
      </c>
      <c r="C410" s="694"/>
      <c r="D410" s="695">
        <v>0</v>
      </c>
      <c r="E410" s="695">
        <v>0</v>
      </c>
      <c r="F410" s="695">
        <v>0</v>
      </c>
      <c r="G410" s="692">
        <f t="shared" si="214"/>
        <v>0</v>
      </c>
      <c r="H410" s="280">
        <f t="shared" si="217"/>
        <v>0</v>
      </c>
      <c r="I410" s="280">
        <f t="shared" si="218"/>
        <v>0</v>
      </c>
      <c r="J410" s="820"/>
    </row>
    <row r="411" spans="1:10" x14ac:dyDescent="0.25">
      <c r="A411" s="689"/>
      <c r="B411" s="693" t="s">
        <v>162</v>
      </c>
      <c r="C411" s="694"/>
      <c r="D411" s="692">
        <f>D409-D410</f>
        <v>1466000</v>
      </c>
      <c r="E411" s="692">
        <f>E409-E410</f>
        <v>1466000</v>
      </c>
      <c r="F411" s="692">
        <f>F409-F410</f>
        <v>0</v>
      </c>
      <c r="G411" s="692">
        <f t="shared" si="214"/>
        <v>0</v>
      </c>
      <c r="H411" s="280">
        <f t="shared" si="217"/>
        <v>0</v>
      </c>
      <c r="I411" s="280">
        <f t="shared" si="218"/>
        <v>0</v>
      </c>
      <c r="J411" s="820"/>
    </row>
    <row r="412" spans="1:10" ht="158.4" x14ac:dyDescent="0.25">
      <c r="A412" s="245"/>
      <c r="B412" s="465" t="s">
        <v>668</v>
      </c>
      <c r="C412" s="246" t="s">
        <v>667</v>
      </c>
      <c r="D412" s="197">
        <v>2046900</v>
      </c>
      <c r="E412" s="195">
        <f>'Проверочная  таблица'!AP38</f>
        <v>1998796.83</v>
      </c>
      <c r="F412" s="195">
        <f>'Проверочная  таблица'!AV38</f>
        <v>0</v>
      </c>
      <c r="G412" s="276">
        <f t="shared" si="214"/>
        <v>48103.169999999925</v>
      </c>
      <c r="H412" s="280">
        <f>IF(F412&gt;E412,1,0)</f>
        <v>0</v>
      </c>
      <c r="I412" s="280">
        <f t="shared" si="218"/>
        <v>0</v>
      </c>
      <c r="J412" s="820"/>
    </row>
    <row r="413" spans="1:10" x14ac:dyDescent="0.25">
      <c r="A413" s="378"/>
      <c r="B413" s="379" t="s">
        <v>161</v>
      </c>
      <c r="C413" s="380"/>
      <c r="D413" s="381">
        <v>0</v>
      </c>
      <c r="E413" s="381">
        <v>0</v>
      </c>
      <c r="F413" s="381">
        <v>0</v>
      </c>
      <c r="G413" s="382">
        <f t="shared" si="214"/>
        <v>0</v>
      </c>
      <c r="H413" s="280">
        <f>IF(F413&gt;E413,1,0)</f>
        <v>0</v>
      </c>
      <c r="I413" s="280">
        <f t="shared" si="218"/>
        <v>0</v>
      </c>
      <c r="J413" s="820"/>
    </row>
    <row r="414" spans="1:10" x14ac:dyDescent="0.25">
      <c r="A414" s="378"/>
      <c r="B414" s="379" t="s">
        <v>162</v>
      </c>
      <c r="C414" s="380"/>
      <c r="D414" s="382">
        <f>D412-D413</f>
        <v>2046900</v>
      </c>
      <c r="E414" s="382">
        <f>E412-E413</f>
        <v>1998796.83</v>
      </c>
      <c r="F414" s="382">
        <f>F412-F413</f>
        <v>0</v>
      </c>
      <c r="G414" s="382">
        <f t="shared" si="214"/>
        <v>48103.169999999925</v>
      </c>
      <c r="H414" s="280">
        <f>IF(F414&gt;E414,1,0)</f>
        <v>0</v>
      </c>
      <c r="I414" s="280">
        <f t="shared" si="218"/>
        <v>0</v>
      </c>
      <c r="J414" s="820"/>
    </row>
    <row r="415" spans="1:10" x14ac:dyDescent="0.25">
      <c r="A415" s="188"/>
      <c r="B415" s="465"/>
      <c r="C415" s="262"/>
      <c r="D415" s="275"/>
      <c r="E415" s="182"/>
      <c r="F415" s="182"/>
      <c r="G415" s="276"/>
      <c r="H415" s="280"/>
      <c r="I415" s="280">
        <f t="shared" si="215"/>
        <v>0</v>
      </c>
    </row>
    <row r="416" spans="1:10" x14ac:dyDescent="0.25">
      <c r="A416" s="180">
        <v>1102</v>
      </c>
      <c r="B416" s="247" t="s">
        <v>112</v>
      </c>
      <c r="C416" s="186"/>
      <c r="D416" s="278">
        <f>D432+D426+D429+D435+D420+D423</f>
        <v>76032425.61999999</v>
      </c>
      <c r="E416" s="278">
        <f t="shared" ref="E416:G416" si="219">E432+E426+E429+E435+E420+E423</f>
        <v>76032425.61999999</v>
      </c>
      <c r="F416" s="278">
        <f t="shared" si="219"/>
        <v>28285363.109999999</v>
      </c>
      <c r="G416" s="278">
        <f t="shared" si="219"/>
        <v>0</v>
      </c>
      <c r="H416" s="280">
        <f t="shared" ref="H416:H461" si="220">IF(F416&gt;E416,1,0)</f>
        <v>0</v>
      </c>
      <c r="I416" s="280">
        <f t="shared" si="215"/>
        <v>0</v>
      </c>
    </row>
    <row r="417" spans="1:10" x14ac:dyDescent="0.25">
      <c r="A417" s="370"/>
      <c r="B417" s="371" t="s">
        <v>161</v>
      </c>
      <c r="C417" s="372"/>
      <c r="D417" s="493">
        <f t="shared" ref="D417:G418" si="221">D433+D427+D430+D436+D421+D424</f>
        <v>76032425.61999999</v>
      </c>
      <c r="E417" s="493">
        <f t="shared" si="221"/>
        <v>76032425.61999999</v>
      </c>
      <c r="F417" s="493">
        <f t="shared" si="221"/>
        <v>28285363.109999999</v>
      </c>
      <c r="G417" s="493">
        <f t="shared" si="221"/>
        <v>0</v>
      </c>
      <c r="H417" s="280">
        <f t="shared" si="220"/>
        <v>0</v>
      </c>
      <c r="I417" s="280">
        <f t="shared" si="215"/>
        <v>0</v>
      </c>
    </row>
    <row r="418" spans="1:10" x14ac:dyDescent="0.25">
      <c r="A418" s="370"/>
      <c r="B418" s="371" t="s">
        <v>162</v>
      </c>
      <c r="C418" s="372"/>
      <c r="D418" s="493">
        <f t="shared" si="221"/>
        <v>0</v>
      </c>
      <c r="E418" s="493">
        <f t="shared" si="221"/>
        <v>0</v>
      </c>
      <c r="F418" s="493">
        <f t="shared" si="221"/>
        <v>0</v>
      </c>
      <c r="G418" s="493">
        <f t="shared" si="221"/>
        <v>0</v>
      </c>
      <c r="H418" s="280">
        <f t="shared" si="220"/>
        <v>0</v>
      </c>
      <c r="I418" s="280">
        <f t="shared" si="215"/>
        <v>0</v>
      </c>
    </row>
    <row r="419" spans="1:10" x14ac:dyDescent="0.25">
      <c r="A419" s="188"/>
      <c r="B419" s="464" t="s">
        <v>45</v>
      </c>
      <c r="C419" s="184"/>
      <c r="D419" s="277"/>
      <c r="E419" s="182"/>
      <c r="F419" s="182"/>
      <c r="G419" s="276"/>
      <c r="H419" s="280">
        <f t="shared" si="220"/>
        <v>0</v>
      </c>
      <c r="I419" s="280">
        <f t="shared" si="215"/>
        <v>0</v>
      </c>
    </row>
    <row r="420" spans="1:10" ht="250.8" x14ac:dyDescent="0.25">
      <c r="A420" s="1150"/>
      <c r="B420" s="469" t="s">
        <v>760</v>
      </c>
      <c r="C420" s="145" t="s">
        <v>611</v>
      </c>
      <c r="D420" s="275">
        <v>1145763.1599999999</v>
      </c>
      <c r="E420" s="195">
        <f>'Проверочная  таблица'!FF37</f>
        <v>1145763.1600000001</v>
      </c>
      <c r="F420" s="195">
        <f>'Проверочная  таблица'!FK37</f>
        <v>143220</v>
      </c>
      <c r="G420" s="276">
        <f>D420-E420</f>
        <v>0</v>
      </c>
      <c r="H420" s="280">
        <f t="shared" ref="H420:H425" si="222">IF(F420&gt;E420,1,0)</f>
        <v>0</v>
      </c>
      <c r="I420" s="280">
        <f t="shared" ref="I420:I425" si="223">IF(G420&lt;0,1,0)</f>
        <v>0</v>
      </c>
      <c r="J420" s="820">
        <f>D420+D423</f>
        <v>22915263.16</v>
      </c>
    </row>
    <row r="421" spans="1:10" x14ac:dyDescent="0.25">
      <c r="A421" s="378"/>
      <c r="B421" s="379" t="s">
        <v>161</v>
      </c>
      <c r="C421" s="380"/>
      <c r="D421" s="382">
        <f>D420</f>
        <v>1145763.1599999999</v>
      </c>
      <c r="E421" s="382">
        <f t="shared" ref="E421:G421" si="224">E420</f>
        <v>1145763.1600000001</v>
      </c>
      <c r="F421" s="382">
        <f t="shared" si="224"/>
        <v>143220</v>
      </c>
      <c r="G421" s="382">
        <f t="shared" si="224"/>
        <v>0</v>
      </c>
      <c r="H421" s="280">
        <f t="shared" si="222"/>
        <v>0</v>
      </c>
      <c r="I421" s="280">
        <f t="shared" si="223"/>
        <v>0</v>
      </c>
    </row>
    <row r="422" spans="1:10" x14ac:dyDescent="0.25">
      <c r="A422" s="378"/>
      <c r="B422" s="379" t="s">
        <v>162</v>
      </c>
      <c r="C422" s="380"/>
      <c r="D422" s="382"/>
      <c r="E422" s="382"/>
      <c r="F422" s="382"/>
      <c r="G422" s="382"/>
      <c r="H422" s="280">
        <f t="shared" si="222"/>
        <v>0</v>
      </c>
      <c r="I422" s="280">
        <f t="shared" si="223"/>
        <v>0</v>
      </c>
    </row>
    <row r="423" spans="1:10" x14ac:dyDescent="0.25">
      <c r="A423" s="689"/>
      <c r="B423" s="690" t="s">
        <v>66</v>
      </c>
      <c r="C423" s="676" t="s">
        <v>611</v>
      </c>
      <c r="D423" s="691">
        <v>21769500</v>
      </c>
      <c r="E423" s="688">
        <f>'Проверочная  таблица'!FG37</f>
        <v>21769500</v>
      </c>
      <c r="F423" s="688">
        <f>'Проверочная  таблица'!FL37</f>
        <v>2721180</v>
      </c>
      <c r="G423" s="692">
        <f>D423-E423</f>
        <v>0</v>
      </c>
      <c r="H423" s="280">
        <f t="shared" si="222"/>
        <v>0</v>
      </c>
      <c r="I423" s="280">
        <f t="shared" si="223"/>
        <v>0</v>
      </c>
    </row>
    <row r="424" spans="1:10" x14ac:dyDescent="0.25">
      <c r="A424" s="689"/>
      <c r="B424" s="693" t="s">
        <v>161</v>
      </c>
      <c r="C424" s="694"/>
      <c r="D424" s="692">
        <f>D423</f>
        <v>21769500</v>
      </c>
      <c r="E424" s="692">
        <f t="shared" ref="E424:G424" si="225">E423</f>
        <v>21769500</v>
      </c>
      <c r="F424" s="692">
        <f t="shared" si="225"/>
        <v>2721180</v>
      </c>
      <c r="G424" s="692">
        <f t="shared" si="225"/>
        <v>0</v>
      </c>
      <c r="H424" s="280">
        <f t="shared" si="222"/>
        <v>0</v>
      </c>
      <c r="I424" s="280">
        <f t="shared" si="223"/>
        <v>0</v>
      </c>
    </row>
    <row r="425" spans="1:10" x14ac:dyDescent="0.25">
      <c r="A425" s="689"/>
      <c r="B425" s="693" t="s">
        <v>162</v>
      </c>
      <c r="C425" s="694"/>
      <c r="D425" s="692"/>
      <c r="E425" s="692"/>
      <c r="F425" s="692"/>
      <c r="G425" s="692"/>
      <c r="H425" s="280">
        <f t="shared" si="222"/>
        <v>0</v>
      </c>
      <c r="I425" s="280">
        <f t="shared" si="223"/>
        <v>0</v>
      </c>
      <c r="J425" s="824"/>
    </row>
    <row r="426" spans="1:10" ht="198" x14ac:dyDescent="0.25">
      <c r="A426" s="188"/>
      <c r="B426" s="465" t="s">
        <v>763</v>
      </c>
      <c r="C426" s="145" t="s">
        <v>635</v>
      </c>
      <c r="D426" s="275">
        <v>2105263.16</v>
      </c>
      <c r="E426" s="195">
        <f>'Проверочная  таблица'!FH37</f>
        <v>2105263.16</v>
      </c>
      <c r="F426" s="195">
        <f>'Проверочная  таблица'!FM37</f>
        <v>736842.1099999994</v>
      </c>
      <c r="G426" s="276">
        <f t="shared" ref="G426:G429" si="226">D426-E426</f>
        <v>0</v>
      </c>
      <c r="H426" s="280">
        <f t="shared" ref="H426:H437" si="227">IF(F426&gt;E426,1,0)</f>
        <v>0</v>
      </c>
      <c r="I426" s="280">
        <f t="shared" ref="I426:I437" si="228">IF(G426&lt;0,1,0)</f>
        <v>0</v>
      </c>
      <c r="J426" s="820">
        <f>D426+D429</f>
        <v>42105263.159999996</v>
      </c>
    </row>
    <row r="427" spans="1:10" x14ac:dyDescent="0.25">
      <c r="A427" s="378"/>
      <c r="B427" s="379" t="s">
        <v>161</v>
      </c>
      <c r="C427" s="380"/>
      <c r="D427" s="382">
        <f>D426</f>
        <v>2105263.16</v>
      </c>
      <c r="E427" s="382">
        <f t="shared" ref="E427:G427" si="229">E426</f>
        <v>2105263.16</v>
      </c>
      <c r="F427" s="382">
        <f t="shared" si="229"/>
        <v>736842.1099999994</v>
      </c>
      <c r="G427" s="382">
        <f t="shared" si="229"/>
        <v>0</v>
      </c>
      <c r="H427" s="280">
        <f t="shared" si="227"/>
        <v>0</v>
      </c>
      <c r="I427" s="280">
        <f t="shared" si="228"/>
        <v>0</v>
      </c>
    </row>
    <row r="428" spans="1:10" x14ac:dyDescent="0.25">
      <c r="A428" s="378"/>
      <c r="B428" s="379" t="s">
        <v>162</v>
      </c>
      <c r="C428" s="380"/>
      <c r="D428" s="382"/>
      <c r="E428" s="382"/>
      <c r="F428" s="382"/>
      <c r="G428" s="382"/>
      <c r="H428" s="280">
        <f t="shared" si="227"/>
        <v>0</v>
      </c>
      <c r="I428" s="280">
        <f t="shared" si="228"/>
        <v>0</v>
      </c>
    </row>
    <row r="429" spans="1:10" x14ac:dyDescent="0.25">
      <c r="A429" s="689"/>
      <c r="B429" s="690" t="s">
        <v>66</v>
      </c>
      <c r="C429" s="676" t="s">
        <v>635</v>
      </c>
      <c r="D429" s="691">
        <v>40000000</v>
      </c>
      <c r="E429" s="688">
        <f>'Проверочная  таблица'!FI37</f>
        <v>40000000</v>
      </c>
      <c r="F429" s="688">
        <f>'Проверочная  таблица'!FN37</f>
        <v>14000000</v>
      </c>
      <c r="G429" s="692">
        <f t="shared" si="226"/>
        <v>0</v>
      </c>
      <c r="H429" s="280">
        <f t="shared" si="227"/>
        <v>0</v>
      </c>
      <c r="I429" s="280">
        <f t="shared" si="228"/>
        <v>0</v>
      </c>
    </row>
    <row r="430" spans="1:10" x14ac:dyDescent="0.25">
      <c r="A430" s="689"/>
      <c r="B430" s="693" t="s">
        <v>161</v>
      </c>
      <c r="C430" s="694"/>
      <c r="D430" s="692">
        <f>D429</f>
        <v>40000000</v>
      </c>
      <c r="E430" s="692">
        <f t="shared" ref="E430:G430" si="230">E429</f>
        <v>40000000</v>
      </c>
      <c r="F430" s="692">
        <f t="shared" si="230"/>
        <v>14000000</v>
      </c>
      <c r="G430" s="692">
        <f t="shared" si="230"/>
        <v>0</v>
      </c>
      <c r="H430" s="280">
        <f t="shared" si="227"/>
        <v>0</v>
      </c>
      <c r="I430" s="280">
        <f t="shared" si="228"/>
        <v>0</v>
      </c>
    </row>
    <row r="431" spans="1:10" x14ac:dyDescent="0.25">
      <c r="A431" s="689"/>
      <c r="B431" s="693" t="s">
        <v>162</v>
      </c>
      <c r="C431" s="694"/>
      <c r="D431" s="692"/>
      <c r="E431" s="692"/>
      <c r="F431" s="692"/>
      <c r="G431" s="692"/>
      <c r="H431" s="280">
        <f t="shared" si="227"/>
        <v>0</v>
      </c>
      <c r="I431" s="280">
        <f t="shared" si="228"/>
        <v>0</v>
      </c>
      <c r="J431" s="824"/>
    </row>
    <row r="432" spans="1:10" ht="171.6" x14ac:dyDescent="0.25">
      <c r="A432" s="188"/>
      <c r="B432" s="465" t="s">
        <v>638</v>
      </c>
      <c r="C432" s="145" t="s">
        <v>639</v>
      </c>
      <c r="D432" s="275">
        <v>5400000</v>
      </c>
      <c r="E432" s="195">
        <f>'Прочая  субсидия_МР  и  ГО'!D38</f>
        <v>5400000</v>
      </c>
      <c r="F432" s="195">
        <f>'Прочая  субсидия_МР  и  ГО'!E38</f>
        <v>5400000</v>
      </c>
      <c r="G432" s="276">
        <f>D432-E432</f>
        <v>0</v>
      </c>
      <c r="H432" s="280">
        <f>IF(F432&gt;E432,1,0)</f>
        <v>0</v>
      </c>
      <c r="I432" s="280">
        <f>IF(G432&lt;0,1,0)</f>
        <v>0</v>
      </c>
    </row>
    <row r="433" spans="1:10" x14ac:dyDescent="0.25">
      <c r="A433" s="378"/>
      <c r="B433" s="379" t="s">
        <v>161</v>
      </c>
      <c r="C433" s="380"/>
      <c r="D433" s="382">
        <f>D432</f>
        <v>5400000</v>
      </c>
      <c r="E433" s="382">
        <f>E432</f>
        <v>5400000</v>
      </c>
      <c r="F433" s="382">
        <f>F432</f>
        <v>5400000</v>
      </c>
      <c r="G433" s="382">
        <f>D433-E433</f>
        <v>0</v>
      </c>
      <c r="H433" s="280">
        <f>IF(F433&gt;E433,1,0)</f>
        <v>0</v>
      </c>
      <c r="I433" s="280">
        <f>IF(G433&lt;0,1,0)</f>
        <v>0</v>
      </c>
    </row>
    <row r="434" spans="1:10" x14ac:dyDescent="0.25">
      <c r="A434" s="378"/>
      <c r="B434" s="379" t="s">
        <v>162</v>
      </c>
      <c r="C434" s="380"/>
      <c r="D434" s="382">
        <f>D432-D433</f>
        <v>0</v>
      </c>
      <c r="E434" s="382">
        <f>E432-E433</f>
        <v>0</v>
      </c>
      <c r="F434" s="382">
        <f>F432-F433</f>
        <v>0</v>
      </c>
      <c r="G434" s="382">
        <f>D434-E434</f>
        <v>0</v>
      </c>
      <c r="H434" s="280">
        <f>IF(F434&gt;E434,1,0)</f>
        <v>0</v>
      </c>
      <c r="I434" s="280">
        <f>IF(G434&lt;0,1,0)</f>
        <v>0</v>
      </c>
    </row>
    <row r="435" spans="1:10" s="837" customFormat="1" ht="171.6" x14ac:dyDescent="0.25">
      <c r="A435" s="996"/>
      <c r="B435" s="465" t="s">
        <v>249</v>
      </c>
      <c r="C435" s="145" t="s">
        <v>220</v>
      </c>
      <c r="D435" s="275">
        <v>5611899.2999999998</v>
      </c>
      <c r="E435" s="436">
        <f>D435</f>
        <v>5611899.2999999998</v>
      </c>
      <c r="F435" s="383">
        <v>5284121</v>
      </c>
      <c r="G435" s="276">
        <f t="shared" ref="G435:G437" si="231">D435-E435</f>
        <v>0</v>
      </c>
      <c r="H435" s="280">
        <f t="shared" si="227"/>
        <v>0</v>
      </c>
      <c r="I435" s="280">
        <f t="shared" si="228"/>
        <v>0</v>
      </c>
      <c r="J435" s="823"/>
    </row>
    <row r="436" spans="1:10" s="837" customFormat="1" x14ac:dyDescent="0.25">
      <c r="A436" s="378"/>
      <c r="B436" s="379" t="s">
        <v>161</v>
      </c>
      <c r="C436" s="380"/>
      <c r="D436" s="382">
        <f>D435-D437</f>
        <v>5611899.2999999998</v>
      </c>
      <c r="E436" s="382">
        <f t="shared" ref="E436:F436" si="232">E435-E437</f>
        <v>5611899.2999999998</v>
      </c>
      <c r="F436" s="382">
        <f t="shared" si="232"/>
        <v>5284121</v>
      </c>
      <c r="G436" s="382">
        <f t="shared" si="231"/>
        <v>0</v>
      </c>
      <c r="H436" s="280">
        <f t="shared" si="227"/>
        <v>0</v>
      </c>
      <c r="I436" s="280">
        <f t="shared" si="228"/>
        <v>0</v>
      </c>
      <c r="J436" s="823"/>
    </row>
    <row r="437" spans="1:10" s="837" customFormat="1" x14ac:dyDescent="0.25">
      <c r="A437" s="378"/>
      <c r="B437" s="379" t="s">
        <v>162</v>
      </c>
      <c r="C437" s="380"/>
      <c r="D437" s="381"/>
      <c r="E437" s="442"/>
      <c r="F437" s="381"/>
      <c r="G437" s="382">
        <f t="shared" si="231"/>
        <v>0</v>
      </c>
      <c r="H437" s="280">
        <f t="shared" si="227"/>
        <v>0</v>
      </c>
      <c r="I437" s="280">
        <f t="shared" si="228"/>
        <v>0</v>
      </c>
      <c r="J437" s="823"/>
    </row>
    <row r="438" spans="1:10" s="837" customFormat="1" x14ac:dyDescent="0.25">
      <c r="A438" s="245"/>
      <c r="B438" s="362"/>
      <c r="C438" s="262"/>
      <c r="D438" s="471"/>
      <c r="E438" s="471"/>
      <c r="F438" s="471"/>
      <c r="G438" s="471"/>
      <c r="H438" s="472"/>
      <c r="I438" s="472"/>
      <c r="J438" s="961"/>
    </row>
    <row r="439" spans="1:10" s="837" customFormat="1" x14ac:dyDescent="0.25">
      <c r="A439" s="180">
        <v>1103</v>
      </c>
      <c r="B439" s="247" t="s">
        <v>401</v>
      </c>
      <c r="C439" s="186"/>
      <c r="D439" s="278">
        <f>D443</f>
        <v>2100000</v>
      </c>
      <c r="E439" s="278">
        <f t="shared" ref="E439:G439" si="233">E443</f>
        <v>2100000</v>
      </c>
      <c r="F439" s="278">
        <f t="shared" si="233"/>
        <v>2100000</v>
      </c>
      <c r="G439" s="278">
        <f t="shared" si="233"/>
        <v>0</v>
      </c>
      <c r="H439" s="280">
        <f t="shared" ref="H439:H442" si="234">IF(F439&gt;E439,1,0)</f>
        <v>0</v>
      </c>
      <c r="I439" s="280">
        <f t="shared" ref="I439:I442" si="235">IF(G439&lt;0,1,0)</f>
        <v>0</v>
      </c>
      <c r="J439" s="961"/>
    </row>
    <row r="440" spans="1:10" s="837" customFormat="1" x14ac:dyDescent="0.25">
      <c r="A440" s="370"/>
      <c r="B440" s="371" t="s">
        <v>161</v>
      </c>
      <c r="C440" s="372"/>
      <c r="D440" s="493">
        <f t="shared" ref="D440:G441" si="236">D444</f>
        <v>2100000</v>
      </c>
      <c r="E440" s="493">
        <f t="shared" si="236"/>
        <v>2100000</v>
      </c>
      <c r="F440" s="493">
        <f t="shared" si="236"/>
        <v>2100000</v>
      </c>
      <c r="G440" s="493">
        <f t="shared" si="236"/>
        <v>0</v>
      </c>
      <c r="H440" s="280">
        <f t="shared" si="234"/>
        <v>0</v>
      </c>
      <c r="I440" s="280">
        <f t="shared" si="235"/>
        <v>0</v>
      </c>
      <c r="J440" s="961"/>
    </row>
    <row r="441" spans="1:10" s="837" customFormat="1" x14ac:dyDescent="0.25">
      <c r="A441" s="370"/>
      <c r="B441" s="371" t="s">
        <v>162</v>
      </c>
      <c r="C441" s="372"/>
      <c r="D441" s="493">
        <f t="shared" si="236"/>
        <v>0</v>
      </c>
      <c r="E441" s="493">
        <f t="shared" si="236"/>
        <v>0</v>
      </c>
      <c r="F441" s="493">
        <f t="shared" si="236"/>
        <v>0</v>
      </c>
      <c r="G441" s="493">
        <f t="shared" si="236"/>
        <v>0</v>
      </c>
      <c r="H441" s="280">
        <f t="shared" si="234"/>
        <v>0</v>
      </c>
      <c r="I441" s="280">
        <f t="shared" si="235"/>
        <v>0</v>
      </c>
      <c r="J441" s="961"/>
    </row>
    <row r="442" spans="1:10" s="837" customFormat="1" x14ac:dyDescent="0.25">
      <c r="A442" s="1092"/>
      <c r="B442" s="464" t="s">
        <v>45</v>
      </c>
      <c r="C442" s="184"/>
      <c r="D442" s="182"/>
      <c r="E442" s="182"/>
      <c r="F442" s="182"/>
      <c r="G442" s="276"/>
      <c r="H442" s="280">
        <f t="shared" si="234"/>
        <v>0</v>
      </c>
      <c r="I442" s="280">
        <f t="shared" si="235"/>
        <v>0</v>
      </c>
      <c r="J442" s="961"/>
    </row>
    <row r="443" spans="1:10" s="837" customFormat="1" ht="198" x14ac:dyDescent="0.25">
      <c r="A443" s="1248"/>
      <c r="B443" s="469" t="s">
        <v>730</v>
      </c>
      <c r="C443" s="145" t="s">
        <v>729</v>
      </c>
      <c r="D443" s="275">
        <v>2100000</v>
      </c>
      <c r="E443" s="195">
        <f>'Прочая  субсидия_МР  и  ГО'!F38</f>
        <v>2100000</v>
      </c>
      <c r="F443" s="195">
        <f>'Прочая  субсидия_МР  и  ГО'!G38</f>
        <v>2100000</v>
      </c>
      <c r="G443" s="276">
        <f t="shared" ref="G443" si="237">D443-E443</f>
        <v>0</v>
      </c>
      <c r="H443" s="280">
        <f t="shared" ref="H443:H445" si="238">IF(F443&gt;E443,1,0)</f>
        <v>0</v>
      </c>
      <c r="I443" s="280">
        <f t="shared" ref="I443:I445" si="239">IF(G443&lt;0,1,0)</f>
        <v>0</v>
      </c>
      <c r="J443" s="820"/>
    </row>
    <row r="444" spans="1:10" s="837" customFormat="1" x14ac:dyDescent="0.25">
      <c r="A444" s="378"/>
      <c r="B444" s="379" t="s">
        <v>161</v>
      </c>
      <c r="C444" s="380"/>
      <c r="D444" s="382">
        <f>D443</f>
        <v>2100000</v>
      </c>
      <c r="E444" s="382">
        <f t="shared" ref="E444:G444" si="240">E443</f>
        <v>2100000</v>
      </c>
      <c r="F444" s="382">
        <f t="shared" si="240"/>
        <v>2100000</v>
      </c>
      <c r="G444" s="382">
        <f t="shared" si="240"/>
        <v>0</v>
      </c>
      <c r="H444" s="280">
        <f t="shared" si="238"/>
        <v>0</v>
      </c>
      <c r="I444" s="280">
        <f t="shared" si="239"/>
        <v>0</v>
      </c>
      <c r="J444" s="821"/>
    </row>
    <row r="445" spans="1:10" s="837" customFormat="1" x14ac:dyDescent="0.25">
      <c r="A445" s="378"/>
      <c r="B445" s="379" t="s">
        <v>162</v>
      </c>
      <c r="C445" s="380"/>
      <c r="D445" s="382"/>
      <c r="E445" s="382"/>
      <c r="F445" s="382"/>
      <c r="G445" s="382"/>
      <c r="H445" s="280">
        <f t="shared" si="238"/>
        <v>0</v>
      </c>
      <c r="I445" s="280">
        <f t="shared" si="239"/>
        <v>0</v>
      </c>
      <c r="J445" s="821"/>
    </row>
    <row r="446" spans="1:10" s="837" customFormat="1" x14ac:dyDescent="0.25">
      <c r="A446" s="245"/>
      <c r="B446" s="362"/>
      <c r="C446" s="262"/>
      <c r="D446" s="471"/>
      <c r="E446" s="471"/>
      <c r="F446" s="471"/>
      <c r="G446" s="471"/>
      <c r="H446" s="472"/>
      <c r="I446" s="472"/>
      <c r="J446" s="961"/>
    </row>
    <row r="447" spans="1:10" ht="26.4" x14ac:dyDescent="0.25">
      <c r="A447" s="180">
        <v>1403</v>
      </c>
      <c r="B447" s="247" t="s">
        <v>74</v>
      </c>
      <c r="C447" s="186"/>
      <c r="D447" s="278">
        <f>D454+D451+D457</f>
        <v>608221478.20000005</v>
      </c>
      <c r="E447" s="278">
        <f t="shared" ref="E447:G447" si="241">E454+E451+E457</f>
        <v>578180204.77999997</v>
      </c>
      <c r="F447" s="278">
        <f t="shared" si="241"/>
        <v>472359224.44</v>
      </c>
      <c r="G447" s="278">
        <f t="shared" si="241"/>
        <v>30041273.420000002</v>
      </c>
      <c r="H447" s="280">
        <f t="shared" si="220"/>
        <v>0</v>
      </c>
      <c r="I447" s="280">
        <f t="shared" si="215"/>
        <v>0</v>
      </c>
    </row>
    <row r="448" spans="1:10" x14ac:dyDescent="0.25">
      <c r="A448" s="370"/>
      <c r="B448" s="371" t="s">
        <v>161</v>
      </c>
      <c r="C448" s="372"/>
      <c r="D448" s="493">
        <f t="shared" ref="D448:G449" si="242">D455+D452+D458</f>
        <v>577312278.20000005</v>
      </c>
      <c r="E448" s="493">
        <f t="shared" si="242"/>
        <v>547271004.77999997</v>
      </c>
      <c r="F448" s="493">
        <f t="shared" si="242"/>
        <v>447038554.45999998</v>
      </c>
      <c r="G448" s="493">
        <f t="shared" si="242"/>
        <v>30041273.420000002</v>
      </c>
      <c r="H448" s="280">
        <f t="shared" si="220"/>
        <v>0</v>
      </c>
      <c r="I448" s="280">
        <f t="shared" si="215"/>
        <v>0</v>
      </c>
    </row>
    <row r="449" spans="1:11" x14ac:dyDescent="0.25">
      <c r="A449" s="370"/>
      <c r="B449" s="371" t="s">
        <v>162</v>
      </c>
      <c r="C449" s="372"/>
      <c r="D449" s="493">
        <f t="shared" si="242"/>
        <v>30909200</v>
      </c>
      <c r="E449" s="493">
        <f t="shared" si="242"/>
        <v>30909200</v>
      </c>
      <c r="F449" s="493">
        <f t="shared" si="242"/>
        <v>25320669.98</v>
      </c>
      <c r="G449" s="493">
        <f t="shared" si="242"/>
        <v>0</v>
      </c>
      <c r="H449" s="280">
        <f t="shared" si="220"/>
        <v>0</v>
      </c>
      <c r="I449" s="280">
        <f t="shared" si="215"/>
        <v>0</v>
      </c>
    </row>
    <row r="450" spans="1:11" x14ac:dyDescent="0.25">
      <c r="A450" s="188"/>
      <c r="B450" s="464" t="s">
        <v>45</v>
      </c>
      <c r="C450" s="184"/>
      <c r="D450" s="277"/>
      <c r="E450" s="182"/>
      <c r="F450" s="182"/>
      <c r="G450" s="276"/>
      <c r="H450" s="280">
        <f t="shared" si="220"/>
        <v>0</v>
      </c>
      <c r="I450" s="280">
        <f t="shared" si="215"/>
        <v>0</v>
      </c>
    </row>
    <row r="451" spans="1:11" ht="171.6" x14ac:dyDescent="0.25">
      <c r="A451" s="188"/>
      <c r="B451" s="465" t="s">
        <v>249</v>
      </c>
      <c r="C451" s="145" t="s">
        <v>220</v>
      </c>
      <c r="D451" s="275">
        <v>1937.83</v>
      </c>
      <c r="E451" s="263"/>
      <c r="F451" s="713"/>
      <c r="G451" s="276">
        <f t="shared" ref="G451:G456" si="243">D451-E451</f>
        <v>1937.83</v>
      </c>
      <c r="H451" s="280">
        <f t="shared" si="220"/>
        <v>0</v>
      </c>
      <c r="I451" s="280">
        <f t="shared" si="215"/>
        <v>0</v>
      </c>
    </row>
    <row r="452" spans="1:11" x14ac:dyDescent="0.25">
      <c r="A452" s="378"/>
      <c r="B452" s="379" t="s">
        <v>161</v>
      </c>
      <c r="C452" s="380"/>
      <c r="D452" s="442">
        <f>D451-D453</f>
        <v>1937.83</v>
      </c>
      <c r="E452" s="442">
        <f>E451-E453</f>
        <v>0</v>
      </c>
      <c r="F452" s="442">
        <f>F451-F453</f>
        <v>0</v>
      </c>
      <c r="G452" s="382">
        <f t="shared" si="243"/>
        <v>1937.83</v>
      </c>
      <c r="H452" s="280">
        <f t="shared" si="220"/>
        <v>0</v>
      </c>
      <c r="I452" s="280">
        <f t="shared" si="215"/>
        <v>0</v>
      </c>
    </row>
    <row r="453" spans="1:11" x14ac:dyDescent="0.25">
      <c r="A453" s="378"/>
      <c r="B453" s="379" t="s">
        <v>162</v>
      </c>
      <c r="C453" s="380"/>
      <c r="D453" s="381"/>
      <c r="E453" s="381"/>
      <c r="F453" s="381"/>
      <c r="G453" s="382">
        <f t="shared" si="243"/>
        <v>0</v>
      </c>
      <c r="H453" s="280">
        <f t="shared" si="220"/>
        <v>0</v>
      </c>
      <c r="I453" s="280">
        <f t="shared" si="215"/>
        <v>0</v>
      </c>
    </row>
    <row r="454" spans="1:11" ht="129.75" customHeight="1" x14ac:dyDescent="0.25">
      <c r="A454" s="188"/>
      <c r="B454" s="465" t="s">
        <v>255</v>
      </c>
      <c r="C454" s="145" t="s">
        <v>225</v>
      </c>
      <c r="D454" s="275">
        <f>207825000+58544540.37+12350000-40500000</f>
        <v>238219540.37</v>
      </c>
      <c r="E454" s="195">
        <f>'Прочая  субсидия_МР  и  ГО'!AH38</f>
        <v>208180204.78</v>
      </c>
      <c r="F454" s="195">
        <f>'Прочая  субсидия_МР  и  ГО'!AI38</f>
        <v>102359224.44</v>
      </c>
      <c r="G454" s="276">
        <f t="shared" si="243"/>
        <v>30039335.590000004</v>
      </c>
      <c r="H454" s="280">
        <f t="shared" si="220"/>
        <v>0</v>
      </c>
      <c r="I454" s="280">
        <f t="shared" si="215"/>
        <v>0</v>
      </c>
    </row>
    <row r="455" spans="1:11" x14ac:dyDescent="0.25">
      <c r="A455" s="378"/>
      <c r="B455" s="379" t="s">
        <v>161</v>
      </c>
      <c r="C455" s="380"/>
      <c r="D455" s="382">
        <f>D454-D456</f>
        <v>207310340.37</v>
      </c>
      <c r="E455" s="382">
        <f t="shared" ref="E455:F455" si="244">E454-E456</f>
        <v>177271004.78</v>
      </c>
      <c r="F455" s="382">
        <f t="shared" si="244"/>
        <v>77038554.459999993</v>
      </c>
      <c r="G455" s="382">
        <f t="shared" si="243"/>
        <v>30039335.590000004</v>
      </c>
      <c r="H455" s="280">
        <f t="shared" si="220"/>
        <v>0</v>
      </c>
      <c r="I455" s="280">
        <f t="shared" si="215"/>
        <v>0</v>
      </c>
    </row>
    <row r="456" spans="1:11" ht="15.6" x14ac:dyDescent="0.25">
      <c r="A456" s="378"/>
      <c r="B456" s="379" t="s">
        <v>162</v>
      </c>
      <c r="C456" s="380"/>
      <c r="D456" s="381">
        <v>30909200</v>
      </c>
      <c r="E456" s="381">
        <v>30909200</v>
      </c>
      <c r="F456" s="381">
        <v>25320669.98</v>
      </c>
      <c r="G456" s="382">
        <f t="shared" si="243"/>
        <v>0</v>
      </c>
      <c r="H456" s="280">
        <f t="shared" si="220"/>
        <v>0</v>
      </c>
      <c r="I456" s="280">
        <f t="shared" si="215"/>
        <v>0</v>
      </c>
      <c r="J456" s="821" t="s">
        <v>864</v>
      </c>
      <c r="K456" s="417"/>
    </row>
    <row r="457" spans="1:11" ht="132" x14ac:dyDescent="0.25">
      <c r="A457" s="1176"/>
      <c r="B457" s="465" t="s">
        <v>624</v>
      </c>
      <c r="C457" s="145" t="s">
        <v>625</v>
      </c>
      <c r="D457" s="275">
        <f>300000000+70000000</f>
        <v>370000000</v>
      </c>
      <c r="E457" s="195">
        <f>'Проверочная  таблица'!RI37</f>
        <v>370000000</v>
      </c>
      <c r="F457" s="195">
        <f>'Проверочная  таблица'!RJ37</f>
        <v>370000000</v>
      </c>
      <c r="G457" s="276">
        <f>D457-E457</f>
        <v>0</v>
      </c>
      <c r="H457" s="280">
        <f>IF(F457&gt;E457,1,0)</f>
        <v>0</v>
      </c>
      <c r="I457" s="280">
        <f>IF(G457&lt;0,1,0)</f>
        <v>0</v>
      </c>
    </row>
    <row r="458" spans="1:11" x14ac:dyDescent="0.25">
      <c r="A458" s="378"/>
      <c r="B458" s="379" t="s">
        <v>161</v>
      </c>
      <c r="C458" s="380"/>
      <c r="D458" s="382">
        <f>D457</f>
        <v>370000000</v>
      </c>
      <c r="E458" s="382">
        <f>E457</f>
        <v>370000000</v>
      </c>
      <c r="F458" s="382">
        <f>F457</f>
        <v>370000000</v>
      </c>
      <c r="G458" s="382">
        <f>D458-E458</f>
        <v>0</v>
      </c>
      <c r="H458" s="280">
        <f>IF(F458&gt;E458,1,0)</f>
        <v>0</v>
      </c>
      <c r="I458" s="280">
        <f>IF(G458&lt;0,1,0)</f>
        <v>0</v>
      </c>
    </row>
    <row r="459" spans="1:11" x14ac:dyDescent="0.25">
      <c r="A459" s="378"/>
      <c r="B459" s="379" t="s">
        <v>162</v>
      </c>
      <c r="C459" s="380"/>
      <c r="D459" s="382">
        <f>D457-D458</f>
        <v>0</v>
      </c>
      <c r="E459" s="382">
        <f>E457-E458</f>
        <v>0</v>
      </c>
      <c r="F459" s="382">
        <f>F457-F458</f>
        <v>0</v>
      </c>
      <c r="G459" s="382">
        <f>D459-E459</f>
        <v>0</v>
      </c>
      <c r="H459" s="280">
        <f>IF(F459&gt;E459,1,0)</f>
        <v>0</v>
      </c>
      <c r="I459" s="280">
        <f>IF(G459&lt;0,1,0)</f>
        <v>0</v>
      </c>
    </row>
    <row r="460" spans="1:11" x14ac:dyDescent="0.25">
      <c r="A460" s="187"/>
      <c r="B460" s="187"/>
      <c r="C460" s="191"/>
      <c r="D460" s="277"/>
      <c r="E460" s="277"/>
      <c r="F460" s="277"/>
      <c r="G460" s="277"/>
      <c r="H460" s="280">
        <f t="shared" si="220"/>
        <v>0</v>
      </c>
      <c r="I460" s="280">
        <f t="shared" si="215"/>
        <v>0</v>
      </c>
    </row>
    <row r="461" spans="1:11" s="839" customFormat="1" x14ac:dyDescent="0.25">
      <c r="A461" s="374"/>
      <c r="B461" s="375" t="s">
        <v>148</v>
      </c>
      <c r="C461" s="375"/>
      <c r="D461" s="376">
        <f t="shared" ref="D461:G463" si="245">D8+D54+D74+D109+D159+D201+D278+D346+D447+D332+D34+D252+D416+D399+D239+D173+D321+D439</f>
        <v>7841235979.75</v>
      </c>
      <c r="E461" s="376">
        <f t="shared" si="245"/>
        <v>7503927241.4799995</v>
      </c>
      <c r="F461" s="376">
        <f t="shared" si="245"/>
        <v>4422866173.8400002</v>
      </c>
      <c r="G461" s="376">
        <f t="shared" si="245"/>
        <v>337308738.26999992</v>
      </c>
      <c r="H461" s="280">
        <f t="shared" si="220"/>
        <v>0</v>
      </c>
      <c r="I461" s="280">
        <f t="shared" si="215"/>
        <v>0</v>
      </c>
      <c r="J461" s="825"/>
    </row>
    <row r="462" spans="1:11" s="839" customFormat="1" x14ac:dyDescent="0.25">
      <c r="A462" s="370"/>
      <c r="B462" s="377" t="s">
        <v>161</v>
      </c>
      <c r="C462" s="372"/>
      <c r="D462" s="440">
        <f t="shared" si="245"/>
        <v>3328273856.3499999</v>
      </c>
      <c r="E462" s="440">
        <f t="shared" si="245"/>
        <v>3271756901.5700002</v>
      </c>
      <c r="F462" s="440">
        <f t="shared" si="245"/>
        <v>2463984817.4099998</v>
      </c>
      <c r="G462" s="440">
        <f t="shared" si="245"/>
        <v>56516954.779999964</v>
      </c>
      <c r="H462" s="280">
        <f>IF(F462&gt;E462,1,0)</f>
        <v>0</v>
      </c>
      <c r="I462" s="280">
        <f>IF(G462&lt;0,1,0)</f>
        <v>0</v>
      </c>
      <c r="J462" s="825"/>
    </row>
    <row r="463" spans="1:11" s="839" customFormat="1" x14ac:dyDescent="0.25">
      <c r="A463" s="370"/>
      <c r="B463" s="377" t="s">
        <v>162</v>
      </c>
      <c r="C463" s="372"/>
      <c r="D463" s="440">
        <f t="shared" si="245"/>
        <v>2250079855.5999994</v>
      </c>
      <c r="E463" s="440">
        <f t="shared" si="245"/>
        <v>2024564993.3199999</v>
      </c>
      <c r="F463" s="440">
        <f t="shared" si="245"/>
        <v>751092724.69000018</v>
      </c>
      <c r="G463" s="440">
        <f t="shared" si="245"/>
        <v>225514862.27999994</v>
      </c>
      <c r="H463" s="280">
        <f>IF(F463&gt;E463,1,0)</f>
        <v>0</v>
      </c>
      <c r="I463" s="280">
        <f>IF(G463&lt;0,1,0)</f>
        <v>0</v>
      </c>
      <c r="J463" s="825"/>
    </row>
    <row r="464" spans="1:11" s="839" customFormat="1" x14ac:dyDescent="0.25">
      <c r="A464" s="370"/>
      <c r="B464" s="377" t="s">
        <v>402</v>
      </c>
      <c r="C464" s="372"/>
      <c r="D464" s="440">
        <f>D281+D255+D242+D204+D176+D77</f>
        <v>2262882267.8000002</v>
      </c>
      <c r="E464" s="440">
        <f>E281+E255+E242+E204+E176+E77</f>
        <v>2207605346.5900002</v>
      </c>
      <c r="F464" s="440">
        <f>F281+F255+F242+F204+F176+F77</f>
        <v>1207788631.7399998</v>
      </c>
      <c r="G464" s="440">
        <f>G281+G255+G242+G204+G176+G77</f>
        <v>55276921.210000008</v>
      </c>
      <c r="H464" s="280">
        <f>IF(F464&gt;E464,1,0)</f>
        <v>0</v>
      </c>
      <c r="I464" s="280">
        <f>IF(G464&lt;0,1,0)</f>
        <v>0</v>
      </c>
      <c r="J464" s="1093"/>
    </row>
    <row r="465" spans="1:12" s="839" customFormat="1" x14ac:dyDescent="0.25">
      <c r="A465" s="367"/>
      <c r="B465" s="368"/>
      <c r="C465" s="369"/>
      <c r="D465" s="366">
        <f>D461-D462-D463-D464</f>
        <v>0</v>
      </c>
      <c r="E465" s="366">
        <f t="shared" ref="E465:G465" si="246">E461-E462-E463-E464</f>
        <v>0</v>
      </c>
      <c r="F465" s="366">
        <f t="shared" si="246"/>
        <v>0</v>
      </c>
      <c r="G465" s="366">
        <f t="shared" si="246"/>
        <v>0</v>
      </c>
      <c r="H465" s="840">
        <f>SUM(H8:H463)</f>
        <v>0</v>
      </c>
      <c r="I465" s="840">
        <f>SUM(I8:I463)</f>
        <v>0</v>
      </c>
      <c r="J465" s="825"/>
    </row>
    <row r="466" spans="1:12" s="839" customFormat="1" x14ac:dyDescent="0.25">
      <c r="A466" s="367"/>
      <c r="B466" s="368"/>
      <c r="C466" s="369"/>
      <c r="D466" s="423" t="s">
        <v>326</v>
      </c>
      <c r="E466" s="841">
        <f>E461-'Проверочная  таблица'!AI37</f>
        <v>0</v>
      </c>
      <c r="F466" s="841">
        <f>F461-'Проверочная  таблица'!AJ37</f>
        <v>0</v>
      </c>
      <c r="G466" s="366"/>
      <c r="H466" s="280"/>
      <c r="I466" s="280"/>
      <c r="J466" s="825"/>
    </row>
    <row r="467" spans="1:12" s="839" customFormat="1" x14ac:dyDescent="0.25">
      <c r="A467" s="367"/>
      <c r="B467" s="368"/>
      <c r="C467" s="425" t="s">
        <v>163</v>
      </c>
      <c r="D467" s="854">
        <v>3328273856.3499999</v>
      </c>
      <c r="E467" s="854">
        <v>3156425607.4899998</v>
      </c>
      <c r="F467" s="854">
        <v>2410416814.9499998</v>
      </c>
      <c r="G467" s="366"/>
      <c r="H467" s="280"/>
      <c r="I467" s="835" t="s">
        <v>258</v>
      </c>
      <c r="J467" s="825"/>
    </row>
    <row r="468" spans="1:12" s="839" customFormat="1" x14ac:dyDescent="0.25">
      <c r="A468" s="367"/>
      <c r="B468" s="368"/>
      <c r="C468" s="425" t="s">
        <v>53</v>
      </c>
      <c r="D468" s="1098">
        <f>D467-D462</f>
        <v>0</v>
      </c>
      <c r="E468" s="424">
        <f>E467-E462+E476+E485</f>
        <v>-4.0233135223388672E-7</v>
      </c>
      <c r="F468" s="424">
        <f>F467-F462+F476+F485</f>
        <v>0</v>
      </c>
      <c r="G468" s="366"/>
      <c r="H468" s="280"/>
      <c r="I468" s="1750" t="s">
        <v>324</v>
      </c>
      <c r="J468" s="1750"/>
      <c r="K468" s="1750"/>
      <c r="L468" s="1750"/>
    </row>
    <row r="469" spans="1:12" s="839" customFormat="1" x14ac:dyDescent="0.25">
      <c r="A469" s="367"/>
      <c r="B469" s="368"/>
      <c r="C469" s="425" t="s">
        <v>50</v>
      </c>
      <c r="D469" s="854">
        <v>2250079855.5999999</v>
      </c>
      <c r="E469" s="854">
        <v>1284790335.8900001</v>
      </c>
      <c r="F469" s="854">
        <v>517401129.38999999</v>
      </c>
      <c r="G469" s="366">
        <f>F469+F477+F482</f>
        <v>672807297.82000005</v>
      </c>
      <c r="H469" s="280"/>
      <c r="I469" s="835" t="s">
        <v>258</v>
      </c>
      <c r="J469" s="825"/>
    </row>
    <row r="470" spans="1:12" s="839" customFormat="1" x14ac:dyDescent="0.25">
      <c r="A470" s="367"/>
      <c r="B470" s="368"/>
      <c r="C470" s="425" t="s">
        <v>53</v>
      </c>
      <c r="D470" s="1098">
        <f>D469-D463</f>
        <v>0</v>
      </c>
      <c r="E470" s="712">
        <f>E469-E463+E486+E477+E482</f>
        <v>0</v>
      </c>
      <c r="F470" s="712">
        <f>F469-F463+F486+F477+F482</f>
        <v>-1.7881393432617188E-7</v>
      </c>
      <c r="G470" s="366"/>
      <c r="H470" s="280"/>
      <c r="I470" s="280"/>
      <c r="J470" s="825"/>
    </row>
    <row r="471" spans="1:12" s="839" customFormat="1" x14ac:dyDescent="0.25">
      <c r="A471" s="367"/>
      <c r="B471" s="368"/>
      <c r="C471" s="425" t="s">
        <v>404</v>
      </c>
      <c r="D471" s="854">
        <v>2262882267.8000002</v>
      </c>
      <c r="E471" s="1247">
        <f>E464</f>
        <v>2207605346.5900002</v>
      </c>
      <c r="F471" s="1247">
        <f>F464</f>
        <v>1207788631.7399998</v>
      </c>
      <c r="G471" s="366"/>
      <c r="H471" s="280"/>
      <c r="I471" s="280"/>
      <c r="J471" s="1093"/>
    </row>
    <row r="472" spans="1:12" s="839" customFormat="1" x14ac:dyDescent="0.25">
      <c r="A472" s="367"/>
      <c r="B472" s="368"/>
      <c r="C472" s="425" t="s">
        <v>53</v>
      </c>
      <c r="D472" s="1098">
        <f>D471-D464</f>
        <v>0</v>
      </c>
      <c r="E472" s="1098">
        <f t="shared" ref="E472:F472" si="247">E471-E464</f>
        <v>0</v>
      </c>
      <c r="F472" s="1098">
        <f t="shared" si="247"/>
        <v>0</v>
      </c>
      <c r="G472" s="366"/>
      <c r="H472" s="280"/>
      <c r="I472" s="280"/>
      <c r="J472" s="1093"/>
    </row>
    <row r="473" spans="1:12" s="839" customFormat="1" ht="13.95" customHeight="1" x14ac:dyDescent="0.25">
      <c r="A473" s="367"/>
      <c r="B473" s="368"/>
      <c r="C473" s="369"/>
      <c r="D473" s="366"/>
      <c r="E473" s="1755" t="s">
        <v>182</v>
      </c>
      <c r="F473" s="1756"/>
      <c r="G473" s="366"/>
      <c r="H473" s="1762" t="s">
        <v>861</v>
      </c>
      <c r="I473" s="1762"/>
      <c r="J473" s="825"/>
    </row>
    <row r="474" spans="1:12" s="839" customFormat="1" x14ac:dyDescent="0.25">
      <c r="A474" s="367"/>
      <c r="B474" s="842"/>
      <c r="C474" s="369"/>
      <c r="D474" s="366"/>
      <c r="E474" s="1759" t="s">
        <v>327</v>
      </c>
      <c r="F474" s="1759"/>
      <c r="G474" s="366"/>
      <c r="H474" s="1762"/>
      <c r="I474" s="1762"/>
      <c r="J474" s="825"/>
    </row>
    <row r="475" spans="1:12" s="839" customFormat="1" x14ac:dyDescent="0.25">
      <c r="A475" s="367"/>
      <c r="B475" s="368"/>
      <c r="C475" s="369"/>
      <c r="D475" s="366"/>
      <c r="E475" s="423"/>
      <c r="F475" s="423"/>
      <c r="G475" s="366"/>
      <c r="H475" s="1762"/>
      <c r="I475" s="1762"/>
      <c r="J475" s="825"/>
    </row>
    <row r="476" spans="1:12" s="839" customFormat="1" x14ac:dyDescent="0.25">
      <c r="A476" s="367"/>
      <c r="B476" s="368"/>
      <c r="D476" s="425" t="s">
        <v>163</v>
      </c>
      <c r="E476" s="1169">
        <f>E39+E45+E144+E135+E188+E207+E215+E258+E296+E302+E366+E372+E378+E427+E407+E384+E390+E80+E287+E267+E354+E421+E170+E129+E223+E182+E22</f>
        <v>19478765.850000001</v>
      </c>
      <c r="F476" s="1169">
        <f>F39+F45+F144+F135+F188+F207+F215+F258+F296+F302+F366+F372+F378+F427+F407+F384+F390+F80+F287+F267+F354+F421+F170+F129+F223+F182+F22</f>
        <v>13091447.75</v>
      </c>
      <c r="G476" s="366"/>
      <c r="H476" s="1762"/>
      <c r="I476" s="1762"/>
      <c r="J476" s="825"/>
    </row>
    <row r="477" spans="1:12" s="839" customFormat="1" x14ac:dyDescent="0.25">
      <c r="A477" s="367"/>
      <c r="B477" s="368"/>
      <c r="D477" s="425" t="s">
        <v>50</v>
      </c>
      <c r="E477" s="1169">
        <f>E40+E46+E145+E136+E189+E208+E216+E259+E297+E303+E367+E373+E379+E428+E408+E385+E391+E81+E288+E268+E355+E422+E171+E130+E224+E168+E183+E23</f>
        <v>137225561.64999998</v>
      </c>
      <c r="F477" s="1169">
        <f>F40+F46+F145+F136+F189+F208+F216+F259+F297+F303+F367+F373+F379+F428+F408+F385+F391+F81+F288+F268+F355+F422+F171+F130+F224+F168+F183+F23</f>
        <v>40177127.960000008</v>
      </c>
      <c r="G477" s="366"/>
      <c r="H477" s="1762"/>
      <c r="I477" s="1762"/>
      <c r="J477" s="825"/>
    </row>
    <row r="478" spans="1:12" s="839" customFormat="1" x14ac:dyDescent="0.25">
      <c r="A478" s="367"/>
      <c r="B478" s="368"/>
      <c r="D478" s="425" t="s">
        <v>404</v>
      </c>
      <c r="E478" s="843">
        <f>E304+E250+E237+E233+E217+E209+E199+E103+E225</f>
        <v>1139157472.8900001</v>
      </c>
      <c r="F478" s="843">
        <f>F304+F250+F237+F233+F217+F209+F199+F103+F225</f>
        <v>904730097.03999996</v>
      </c>
      <c r="G478" s="366"/>
      <c r="H478" s="280"/>
      <c r="I478" s="280"/>
      <c r="J478" s="1093"/>
    </row>
    <row r="479" spans="1:12" s="839" customFormat="1" ht="29.55" customHeight="1" x14ac:dyDescent="0.25">
      <c r="A479" s="367"/>
      <c r="B479" s="368"/>
      <c r="C479" s="250"/>
      <c r="D479" s="844"/>
      <c r="E479" s="1757" t="s">
        <v>784</v>
      </c>
      <c r="F479" s="1758"/>
      <c r="G479" s="366"/>
      <c r="H479" s="280"/>
      <c r="I479" s="280"/>
      <c r="J479" s="825"/>
    </row>
    <row r="480" spans="1:12" s="839" customFormat="1" x14ac:dyDescent="0.25">
      <c r="A480" s="367"/>
      <c r="B480" s="368"/>
      <c r="C480" s="369"/>
      <c r="D480" s="366"/>
      <c r="E480" s="366"/>
      <c r="F480" s="366"/>
      <c r="G480" s="366"/>
      <c r="H480" s="280"/>
      <c r="I480" s="280"/>
      <c r="J480" s="825"/>
    </row>
    <row r="481" spans="1:10" s="839" customFormat="1" x14ac:dyDescent="0.25">
      <c r="A481" s="367"/>
      <c r="B481" s="368"/>
      <c r="C481" s="1761" t="s">
        <v>785</v>
      </c>
      <c r="D481" s="1761"/>
      <c r="E481" s="1761"/>
      <c r="F481" s="1761"/>
      <c r="G481" s="1761"/>
      <c r="H481" s="280"/>
      <c r="I481" s="280"/>
      <c r="J481" s="1363"/>
    </row>
    <row r="482" spans="1:10" s="839" customFormat="1" x14ac:dyDescent="0.25">
      <c r="A482" s="367"/>
      <c r="B482" s="368"/>
      <c r="C482" s="161" t="s">
        <v>231</v>
      </c>
      <c r="D482" s="441">
        <f>D165</f>
        <v>326102873.08999997</v>
      </c>
      <c r="E482" s="441">
        <f t="shared" ref="E482:G482" si="248">E165</f>
        <v>326102873.09000003</v>
      </c>
      <c r="F482" s="441">
        <f t="shared" si="248"/>
        <v>115229040.47</v>
      </c>
      <c r="G482" s="441">
        <f t="shared" si="248"/>
        <v>0</v>
      </c>
      <c r="H482" s="280"/>
      <c r="I482" s="280"/>
      <c r="J482" s="1363"/>
    </row>
    <row r="483" spans="1:10" s="839" customFormat="1" x14ac:dyDescent="0.25">
      <c r="A483" s="367"/>
      <c r="B483" s="368"/>
      <c r="C483" s="369"/>
      <c r="D483" s="366"/>
      <c r="E483" s="366"/>
      <c r="F483" s="366"/>
      <c r="G483" s="366"/>
      <c r="H483" s="280"/>
      <c r="I483" s="280"/>
      <c r="J483" s="825"/>
    </row>
    <row r="484" spans="1:10" s="839" customFormat="1" x14ac:dyDescent="0.25">
      <c r="A484" s="367"/>
      <c r="B484" s="368"/>
      <c r="C484" s="1754" t="s">
        <v>616</v>
      </c>
      <c r="D484" s="1754"/>
      <c r="E484" s="1754"/>
      <c r="F484" s="1754"/>
      <c r="G484" s="1754"/>
      <c r="H484" s="280"/>
      <c r="I484" s="280"/>
      <c r="J484" s="825"/>
    </row>
    <row r="485" spans="1:10" s="839" customFormat="1" ht="14.1" customHeight="1" x14ac:dyDescent="0.25">
      <c r="A485" s="367"/>
      <c r="B485" s="368"/>
      <c r="C485" s="696" t="s">
        <v>230</v>
      </c>
      <c r="D485" s="697">
        <f t="shared" ref="D485:G486" si="249">D211+D219+D261+D299+D369+D375+D381+D430+D306+D191+D147+D138+D42+D48+D83+D410+D387+D393+D357+D290+D271+D424+D314+D132+D227+D185+D25</f>
        <v>97928528.230000004</v>
      </c>
      <c r="E485" s="697">
        <f t="shared" si="249"/>
        <v>95852528.230000004</v>
      </c>
      <c r="F485" s="697">
        <f t="shared" si="249"/>
        <v>40476554.709999993</v>
      </c>
      <c r="G485" s="697">
        <f t="shared" si="249"/>
        <v>2076000</v>
      </c>
      <c r="H485" s="280"/>
      <c r="I485" s="280"/>
      <c r="J485" s="825"/>
    </row>
    <row r="486" spans="1:10" s="839" customFormat="1" x14ac:dyDescent="0.25">
      <c r="A486" s="367"/>
      <c r="B486" s="368"/>
      <c r="C486" s="696" t="s">
        <v>231</v>
      </c>
      <c r="D486" s="697">
        <f t="shared" si="249"/>
        <v>426498789.88</v>
      </c>
      <c r="E486" s="697">
        <f t="shared" si="249"/>
        <v>276446222.69</v>
      </c>
      <c r="F486" s="697">
        <f t="shared" si="249"/>
        <v>78285426.870000005</v>
      </c>
      <c r="G486" s="697">
        <f t="shared" si="249"/>
        <v>150052567.19</v>
      </c>
      <c r="H486" s="280"/>
      <c r="I486" s="280"/>
      <c r="J486" s="825"/>
    </row>
    <row r="487" spans="1:10" s="839" customFormat="1" x14ac:dyDescent="0.25">
      <c r="A487" s="367"/>
      <c r="B487" s="368"/>
      <c r="C487" s="696" t="s">
        <v>405</v>
      </c>
      <c r="D487" s="697">
        <f>D308+D273+D221+D213+D316+D107+D229</f>
        <v>1033126600</v>
      </c>
      <c r="E487" s="697">
        <f t="shared" ref="E487:G487" si="250">E308+E273+E221+E213+E316+E107+E229</f>
        <v>1033126600</v>
      </c>
      <c r="F487" s="697">
        <f t="shared" si="250"/>
        <v>298804598.67000002</v>
      </c>
      <c r="G487" s="697">
        <f t="shared" si="250"/>
        <v>0</v>
      </c>
      <c r="H487" s="280"/>
      <c r="I487" s="280"/>
      <c r="J487" s="1093"/>
    </row>
    <row r="488" spans="1:10" s="839" customFormat="1" x14ac:dyDescent="0.25">
      <c r="A488" s="367"/>
      <c r="B488" s="368"/>
      <c r="C488" s="696" t="s">
        <v>16</v>
      </c>
      <c r="D488" s="697">
        <f>SUM(D485:D487)</f>
        <v>1557553918.1100001</v>
      </c>
      <c r="E488" s="697">
        <f t="shared" ref="E488:G488" si="251">SUM(E485:E487)</f>
        <v>1405425350.9200001</v>
      </c>
      <c r="F488" s="697">
        <f t="shared" si="251"/>
        <v>417566580.25</v>
      </c>
      <c r="G488" s="697">
        <f t="shared" si="251"/>
        <v>152128567.19</v>
      </c>
      <c r="H488" s="280"/>
      <c r="I488" s="280"/>
      <c r="J488" s="825"/>
    </row>
    <row r="489" spans="1:10" s="839" customFormat="1" x14ac:dyDescent="0.25">
      <c r="A489" s="367"/>
      <c r="B489" s="368"/>
      <c r="C489" s="369"/>
      <c r="D489" s="729">
        <f>D488-D493</f>
        <v>0</v>
      </c>
      <c r="E489" s="366"/>
      <c r="F489" s="366"/>
      <c r="G489" s="366"/>
      <c r="H489" s="280"/>
      <c r="I489" s="280"/>
      <c r="J489" s="825"/>
    </row>
    <row r="490" spans="1:10" s="839" customFormat="1" ht="27.6" x14ac:dyDescent="0.25">
      <c r="A490" s="367"/>
      <c r="B490" s="368"/>
      <c r="C490" s="369"/>
      <c r="D490" s="701" t="s">
        <v>305</v>
      </c>
      <c r="E490" s="366"/>
      <c r="F490" s="366"/>
      <c r="G490" s="366"/>
      <c r="H490" s="280"/>
      <c r="I490" s="280"/>
      <c r="J490" s="825"/>
    </row>
    <row r="491" spans="1:10" s="839" customFormat="1" x14ac:dyDescent="0.25">
      <c r="A491" s="367"/>
      <c r="B491" s="368"/>
      <c r="C491" s="369"/>
      <c r="D491" s="701"/>
      <c r="E491" s="366"/>
      <c r="F491" s="366"/>
      <c r="G491" s="366"/>
      <c r="H491" s="280"/>
      <c r="I491" s="280"/>
      <c r="J491" s="825"/>
    </row>
    <row r="492" spans="1:10" s="839" customFormat="1" x14ac:dyDescent="0.25">
      <c r="A492" s="367"/>
      <c r="B492" s="368"/>
      <c r="C492" s="422"/>
      <c r="D492" s="714" t="s">
        <v>52</v>
      </c>
      <c r="E492" s="366"/>
      <c r="F492" s="714" t="s">
        <v>52</v>
      </c>
      <c r="G492" s="366"/>
      <c r="H492" s="280"/>
      <c r="I492" s="280"/>
      <c r="J492" s="825"/>
    </row>
    <row r="493" spans="1:10" s="839" customFormat="1" ht="41.4" x14ac:dyDescent="0.25">
      <c r="A493" s="367"/>
      <c r="B493" s="368"/>
      <c r="C493" s="274" t="s">
        <v>321</v>
      </c>
      <c r="D493" s="845">
        <f>SUM(D497:D497)</f>
        <v>1557553918.1099999</v>
      </c>
      <c r="F493" s="845">
        <f>SUM(F497:F497)</f>
        <v>417566580.25</v>
      </c>
      <c r="G493" s="366"/>
      <c r="H493" s="280"/>
      <c r="I493" s="280"/>
      <c r="J493" s="825"/>
    </row>
    <row r="494" spans="1:10" s="839" customFormat="1" x14ac:dyDescent="0.25">
      <c r="A494" s="367"/>
      <c r="B494" s="368"/>
      <c r="C494" s="422" t="s">
        <v>179</v>
      </c>
      <c r="D494" s="979">
        <f>D493-D488</f>
        <v>0</v>
      </c>
      <c r="E494" s="366"/>
      <c r="F494" s="715">
        <f>F493-F488</f>
        <v>0</v>
      </c>
      <c r="G494" s="366"/>
      <c r="H494" s="280"/>
      <c r="I494" s="280"/>
      <c r="J494" s="825"/>
    </row>
    <row r="495" spans="1:10" s="839" customFormat="1" x14ac:dyDescent="0.25">
      <c r="A495" s="367"/>
      <c r="B495" s="368"/>
      <c r="C495" s="369"/>
      <c r="D495" s="366"/>
      <c r="E495" s="366"/>
      <c r="F495" s="366"/>
      <c r="G495" s="366"/>
      <c r="H495" s="280"/>
      <c r="I495" s="280"/>
      <c r="J495" s="825"/>
    </row>
    <row r="496" spans="1:10" s="839" customFormat="1" ht="14.4" thickBot="1" x14ac:dyDescent="0.3">
      <c r="A496" s="367"/>
      <c r="B496" s="368"/>
      <c r="C496" s="369"/>
      <c r="D496" s="366"/>
      <c r="E496" s="366"/>
      <c r="F496" s="366"/>
      <c r="G496" s="366"/>
      <c r="H496" s="280"/>
      <c r="I496" s="280"/>
      <c r="J496" s="825"/>
    </row>
    <row r="497" spans="1:10" s="839" customFormat="1" ht="69.599999999999994" thickBot="1" x14ac:dyDescent="0.3">
      <c r="A497" s="367"/>
      <c r="B497" s="368"/>
      <c r="C497" s="369"/>
      <c r="D497" s="1492">
        <v>1557553918.1099999</v>
      </c>
      <c r="E497" s="274" t="s">
        <v>323</v>
      </c>
      <c r="F497" s="1492">
        <v>417566580.25</v>
      </c>
      <c r="G497" s="366"/>
      <c r="H497" s="280"/>
      <c r="I497" s="280"/>
      <c r="J497" s="825"/>
    </row>
    <row r="498" spans="1:10" s="839" customFormat="1" x14ac:dyDescent="0.25">
      <c r="A498" s="367"/>
      <c r="B498" s="368"/>
      <c r="C498" s="369"/>
      <c r="D498" s="366"/>
      <c r="E498" s="366"/>
      <c r="F498" s="366"/>
      <c r="G498" s="366"/>
      <c r="H498" s="280"/>
      <c r="I498" s="280"/>
      <c r="J498" s="825"/>
    </row>
    <row r="499" spans="1:10" s="839" customFormat="1" x14ac:dyDescent="0.25">
      <c r="A499" s="367"/>
      <c r="B499" s="368"/>
      <c r="C499" s="369"/>
      <c r="D499" s="366"/>
      <c r="E499" s="366"/>
      <c r="F499" s="366"/>
      <c r="G499" s="366"/>
      <c r="H499" s="280"/>
      <c r="I499" s="280"/>
      <c r="J499" s="825"/>
    </row>
    <row r="500" spans="1:10" s="839" customFormat="1" x14ac:dyDescent="0.25">
      <c r="A500" s="367"/>
      <c r="B500" s="368"/>
      <c r="C500" s="369"/>
      <c r="D500" s="366"/>
      <c r="E500" s="422"/>
      <c r="F500" s="425" t="s">
        <v>52</v>
      </c>
      <c r="G500" s="366"/>
      <c r="H500" s="280"/>
      <c r="I500" s="280"/>
      <c r="J500" s="825"/>
    </row>
    <row r="501" spans="1:10" s="839" customFormat="1" x14ac:dyDescent="0.25">
      <c r="A501" s="367"/>
      <c r="B501" s="368"/>
      <c r="C501" s="369"/>
      <c r="D501" s="366"/>
      <c r="E501" s="422" t="s">
        <v>232</v>
      </c>
      <c r="F501" s="854">
        <v>751092724.69000006</v>
      </c>
      <c r="G501" s="366"/>
      <c r="H501" s="280"/>
      <c r="I501" s="835" t="s">
        <v>258</v>
      </c>
      <c r="J501" s="825"/>
    </row>
    <row r="502" spans="1:10" s="839" customFormat="1" x14ac:dyDescent="0.25">
      <c r="A502" s="367"/>
      <c r="B502" s="368"/>
      <c r="C502" s="369"/>
      <c r="D502" s="366"/>
      <c r="E502" s="422" t="s">
        <v>179</v>
      </c>
      <c r="F502" s="441">
        <f>F501-F469-F486-F477-F482</f>
        <v>0</v>
      </c>
      <c r="G502" s="366"/>
      <c r="H502" s="280"/>
      <c r="I502" s="280"/>
      <c r="J502" s="825"/>
    </row>
    <row r="503" spans="1:10" s="839" customFormat="1" x14ac:dyDescent="0.25">
      <c r="A503" s="367"/>
      <c r="B503" s="368"/>
      <c r="C503" s="369"/>
      <c r="D503" s="366"/>
      <c r="E503" s="366"/>
      <c r="F503" s="366"/>
      <c r="G503" s="366"/>
      <c r="H503" s="280"/>
      <c r="I503" s="280"/>
      <c r="J503" s="825"/>
    </row>
    <row r="504" spans="1:10" s="839" customFormat="1" x14ac:dyDescent="0.25">
      <c r="A504" s="367"/>
      <c r="B504" s="368"/>
      <c r="C504" s="369"/>
      <c r="D504" s="1313"/>
      <c r="E504" s="366"/>
      <c r="F504" s="366"/>
      <c r="G504" s="366"/>
      <c r="H504" s="280"/>
      <c r="I504" s="280"/>
      <c r="J504" s="825"/>
    </row>
    <row r="505" spans="1:10" ht="17.55" customHeight="1" x14ac:dyDescent="0.25">
      <c r="C505" s="250" t="s">
        <v>51</v>
      </c>
      <c r="D505" s="1311">
        <v>7690811279.75</v>
      </c>
      <c r="E505" s="1760">
        <f>D505-D506</f>
        <v>-150424700</v>
      </c>
      <c r="F505" s="841"/>
    </row>
    <row r="506" spans="1:10" x14ac:dyDescent="0.25">
      <c r="C506" s="250" t="s">
        <v>52</v>
      </c>
      <c r="D506" s="854">
        <v>7841235979.75</v>
      </c>
      <c r="E506" s="1760"/>
      <c r="F506" s="1312">
        <f>[1]Субсидия_факт!$C$36</f>
        <v>7825247.3206599997</v>
      </c>
      <c r="G506" s="846">
        <f>F506*1000-D461</f>
        <v>-15988659.090000153</v>
      </c>
      <c r="I506" s="835" t="s">
        <v>257</v>
      </c>
    </row>
    <row r="507" spans="1:10" ht="26.4" x14ac:dyDescent="0.25">
      <c r="D507" s="193"/>
      <c r="E507" s="841"/>
      <c r="F507" s="699" t="s">
        <v>300</v>
      </c>
      <c r="G507" s="699" t="s">
        <v>301</v>
      </c>
    </row>
    <row r="508" spans="1:10" ht="15.6" x14ac:dyDescent="0.25">
      <c r="B508" s="698" t="s">
        <v>53</v>
      </c>
      <c r="C508" s="250" t="s">
        <v>51</v>
      </c>
      <c r="D508" s="700">
        <f>D505-D461</f>
        <v>-150424700</v>
      </c>
      <c r="E508" s="1485"/>
      <c r="F508" s="837"/>
      <c r="G508" s="847">
        <f>F506*1000-D506</f>
        <v>-15988659.090000153</v>
      </c>
    </row>
    <row r="509" spans="1:10" ht="15.6" x14ac:dyDescent="0.25">
      <c r="C509" s="250" t="s">
        <v>52</v>
      </c>
      <c r="D509" s="700">
        <f>D506-D461</f>
        <v>0</v>
      </c>
      <c r="E509" s="837"/>
      <c r="F509" s="837"/>
      <c r="G509" s="699" t="s">
        <v>302</v>
      </c>
    </row>
    <row r="510" spans="1:10" s="837" customFormat="1" x14ac:dyDescent="0.25">
      <c r="C510" s="251"/>
      <c r="D510" s="251"/>
      <c r="H510" s="848"/>
      <c r="I510" s="848"/>
      <c r="J510" s="823"/>
    </row>
    <row r="511" spans="1:10" s="837" customFormat="1" x14ac:dyDescent="0.25">
      <c r="C511" s="251"/>
      <c r="D511" s="251"/>
      <c r="E511" s="849">
        <f>E512-'Проверочная  таблица'!AM38</f>
        <v>0</v>
      </c>
      <c r="F511" s="849">
        <f>F512-'Проверочная  таблица'!AS38</f>
        <v>0</v>
      </c>
      <c r="H511" s="848"/>
      <c r="I511" s="848"/>
      <c r="J511" s="823"/>
    </row>
    <row r="512" spans="1:10" ht="171.6" x14ac:dyDescent="0.25">
      <c r="A512" s="1749"/>
      <c r="B512" s="465" t="s">
        <v>249</v>
      </c>
      <c r="C512" s="145" t="s">
        <v>220</v>
      </c>
      <c r="D512" s="438">
        <f t="shared" ref="D512:G514" si="252">D395+D317+D274+D12+D403+D451+D328+D342+D435</f>
        <v>1067832017.53</v>
      </c>
      <c r="E512" s="438">
        <f t="shared" si="252"/>
        <v>1067830079.7</v>
      </c>
      <c r="F512" s="438">
        <f t="shared" si="252"/>
        <v>778816206.06999993</v>
      </c>
      <c r="G512" s="438">
        <f t="shared" si="252"/>
        <v>1937.83</v>
      </c>
      <c r="H512" s="280">
        <f>IF(F512&gt;E512,1,0)</f>
        <v>0</v>
      </c>
      <c r="I512" s="280">
        <f>IF(G512&lt;0,1,0)</f>
        <v>0</v>
      </c>
    </row>
    <row r="513" spans="1:9" x14ac:dyDescent="0.25">
      <c r="A513" s="1749"/>
      <c r="B513" s="963" t="s">
        <v>161</v>
      </c>
      <c r="C513" s="964"/>
      <c r="D513" s="965">
        <f t="shared" si="252"/>
        <v>594299487.52999997</v>
      </c>
      <c r="E513" s="965">
        <f t="shared" si="252"/>
        <v>594297549.70000005</v>
      </c>
      <c r="F513" s="965">
        <f t="shared" si="252"/>
        <v>456984392.06999999</v>
      </c>
      <c r="G513" s="965">
        <f t="shared" si="252"/>
        <v>1937.83</v>
      </c>
      <c r="H513" s="280">
        <f>IF(F513&gt;E513,1,0)</f>
        <v>0</v>
      </c>
      <c r="I513" s="280">
        <f>IF(G513&lt;0,1,0)</f>
        <v>0</v>
      </c>
    </row>
    <row r="514" spans="1:9" x14ac:dyDescent="0.25">
      <c r="A514" s="1749"/>
      <c r="B514" s="963" t="s">
        <v>162</v>
      </c>
      <c r="C514" s="966"/>
      <c r="D514" s="965">
        <f t="shared" si="252"/>
        <v>473532530</v>
      </c>
      <c r="E514" s="965">
        <f t="shared" si="252"/>
        <v>473532530</v>
      </c>
      <c r="F514" s="965">
        <f t="shared" si="252"/>
        <v>321831814</v>
      </c>
      <c r="G514" s="965">
        <f t="shared" si="252"/>
        <v>0</v>
      </c>
      <c r="H514" s="280">
        <f>IF(F514&gt;E514,1,0)</f>
        <v>0</v>
      </c>
      <c r="I514" s="280">
        <f>IF(G514&lt;0,1,0)</f>
        <v>0</v>
      </c>
    </row>
  </sheetData>
  <mergeCells count="12">
    <mergeCell ref="A512:A514"/>
    <mergeCell ref="I468:L468"/>
    <mergeCell ref="A2:G2"/>
    <mergeCell ref="A3:G3"/>
    <mergeCell ref="A4:G4"/>
    <mergeCell ref="C484:G484"/>
    <mergeCell ref="E473:F473"/>
    <mergeCell ref="E479:F479"/>
    <mergeCell ref="E474:F474"/>
    <mergeCell ref="E505:E506"/>
    <mergeCell ref="C481:G481"/>
    <mergeCell ref="H473:I477"/>
  </mergeCells>
  <phoneticPr fontId="0" type="noConversion"/>
  <pageMargins left="0.78740157480314965" right="0.39370078740157483" top="0.59055118110236227"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47"/>
  <sheetViews>
    <sheetView zoomScale="90" zoomScaleNormal="90" workbookViewId="0">
      <pane xSplit="1" ySplit="7" topLeftCell="B36" activePane="bottomRight" state="frozen"/>
      <selection activeCell="D27" sqref="D27"/>
      <selection pane="topRight" activeCell="D27" sqref="D27"/>
      <selection pane="bottomLeft" activeCell="D27" sqref="D27"/>
      <selection pane="bottomRight" activeCell="F45" sqref="F45"/>
    </sheetView>
  </sheetViews>
  <sheetFormatPr defaultColWidth="9.21875" defaultRowHeight="13.8" x14ac:dyDescent="0.25"/>
  <cols>
    <col min="1" max="1" width="12" style="347" customWidth="1"/>
    <col min="2" max="2" width="54.5546875" style="347" customWidth="1"/>
    <col min="3" max="3" width="17.44140625" style="347" customWidth="1"/>
    <col min="4" max="4" width="20.44140625" style="347" customWidth="1"/>
    <col min="5" max="7" width="20.21875" style="347" customWidth="1"/>
    <col min="8" max="8" width="11.44140625" style="347" bestFit="1" customWidth="1"/>
    <col min="9" max="9" width="11.44140625" style="479" bestFit="1" customWidth="1"/>
    <col min="10" max="10" width="16.5546875" style="347" bestFit="1" customWidth="1"/>
    <col min="11" max="16384" width="9.21875" style="347"/>
  </cols>
  <sheetData>
    <row r="2" spans="1:10" ht="15.6" x14ac:dyDescent="0.25">
      <c r="A2" s="1741" t="s">
        <v>386</v>
      </c>
      <c r="B2" s="1741"/>
      <c r="C2" s="1741"/>
      <c r="D2" s="1741"/>
      <c r="E2" s="1741"/>
      <c r="F2" s="1741"/>
      <c r="G2" s="1741"/>
    </row>
    <row r="3" spans="1:10" ht="15.6" x14ac:dyDescent="0.25">
      <c r="A3" s="1742" t="str">
        <f>'Проверочная  таблица'!G3</f>
        <v>ПО  СОСТОЯНИЮ  НА  1  ОКТЯБРЯ  2019  ГОДА</v>
      </c>
      <c r="B3" s="1742"/>
      <c r="C3" s="1742"/>
      <c r="D3" s="1742"/>
      <c r="E3" s="1742"/>
      <c r="F3" s="1742"/>
      <c r="G3" s="1742"/>
    </row>
    <row r="4" spans="1:10" ht="15.6" x14ac:dyDescent="0.25">
      <c r="A4" s="1764" t="s">
        <v>151</v>
      </c>
      <c r="B4" s="1764"/>
      <c r="C4" s="1764"/>
      <c r="D4" s="1764"/>
      <c r="E4" s="1764"/>
      <c r="F4" s="1764"/>
      <c r="G4" s="1764"/>
    </row>
    <row r="6" spans="1:10" x14ac:dyDescent="0.25">
      <c r="F6" s="347" t="s">
        <v>22</v>
      </c>
    </row>
    <row r="7" spans="1:10" s="168" customFormat="1" ht="26.4" x14ac:dyDescent="0.25">
      <c r="A7" s="178" t="s">
        <v>122</v>
      </c>
      <c r="B7" s="178" t="s">
        <v>174</v>
      </c>
      <c r="C7" s="178" t="s">
        <v>19</v>
      </c>
      <c r="D7" s="178" t="s">
        <v>14</v>
      </c>
      <c r="E7" s="178" t="s">
        <v>176</v>
      </c>
      <c r="F7" s="178" t="s">
        <v>4</v>
      </c>
      <c r="G7" s="178" t="s">
        <v>175</v>
      </c>
      <c r="I7" s="385"/>
    </row>
    <row r="8" spans="1:10" s="168" customFormat="1" x14ac:dyDescent="0.25">
      <c r="A8" s="180" t="s">
        <v>84</v>
      </c>
      <c r="B8" s="247" t="s">
        <v>184</v>
      </c>
      <c r="C8" s="189"/>
      <c r="D8" s="192">
        <f>SUM(D10:D10)</f>
        <v>0</v>
      </c>
      <c r="E8" s="192">
        <f>SUM(E10:E10)</f>
        <v>0</v>
      </c>
      <c r="F8" s="192">
        <f>SUM(F10:F10)</f>
        <v>0</v>
      </c>
      <c r="G8" s="192">
        <f>SUM(G10:G10)</f>
        <v>0</v>
      </c>
      <c r="H8" s="280">
        <f>IF(F8&gt;E8,1,0)</f>
        <v>0</v>
      </c>
      <c r="I8" s="280">
        <f>IF(G8&lt;0,1,0)</f>
        <v>0</v>
      </c>
    </row>
    <row r="9" spans="1:10" s="168" customFormat="1" x14ac:dyDescent="0.25">
      <c r="A9" s="181"/>
      <c r="B9" s="464" t="s">
        <v>45</v>
      </c>
      <c r="C9" s="190"/>
      <c r="D9" s="190"/>
      <c r="E9" s="194"/>
      <c r="F9" s="194"/>
      <c r="G9" s="190"/>
      <c r="H9" s="280">
        <f>IF(F9&gt;E9,1,0)</f>
        <v>0</v>
      </c>
      <c r="I9" s="280">
        <f>IF(G9&lt;0,1,0)</f>
        <v>0</v>
      </c>
    </row>
    <row r="10" spans="1:10" s="168" customFormat="1" ht="66" x14ac:dyDescent="0.25">
      <c r="A10" s="1131"/>
      <c r="B10" s="469" t="s">
        <v>185</v>
      </c>
      <c r="C10" s="439" t="s">
        <v>228</v>
      </c>
      <c r="D10" s="435">
        <f>E10</f>
        <v>0</v>
      </c>
      <c r="E10" s="436">
        <f>'Проверочная  таблица'!VD37</f>
        <v>0</v>
      </c>
      <c r="F10" s="436">
        <f>'Проверочная  таблица'!VF37</f>
        <v>0</v>
      </c>
      <c r="G10" s="183">
        <f>D10-E10</f>
        <v>0</v>
      </c>
      <c r="H10" s="280">
        <f>IF(F10&gt;E10,1,0)</f>
        <v>0</v>
      </c>
      <c r="I10" s="280">
        <f>IF(G10&lt;0,1,0)</f>
        <v>0</v>
      </c>
    </row>
    <row r="11" spans="1:10" s="168" customFormat="1" x14ac:dyDescent="0.25">
      <c r="A11" s="178"/>
      <c r="B11" s="178"/>
      <c r="C11" s="178"/>
      <c r="D11" s="178"/>
      <c r="E11" s="178"/>
      <c r="F11" s="178"/>
      <c r="G11" s="178"/>
      <c r="I11" s="385"/>
    </row>
    <row r="12" spans="1:10" s="168" customFormat="1" x14ac:dyDescent="0.25">
      <c r="A12" s="180" t="s">
        <v>134</v>
      </c>
      <c r="B12" s="247" t="s">
        <v>165</v>
      </c>
      <c r="C12" s="189"/>
      <c r="D12" s="192">
        <f>SUM(D14:D19)</f>
        <v>870000000</v>
      </c>
      <c r="E12" s="192">
        <f t="shared" ref="E12:G12" si="0">SUM(E14:E19)</f>
        <v>770000000</v>
      </c>
      <c r="F12" s="192">
        <f t="shared" si="0"/>
        <v>552292109.78999996</v>
      </c>
      <c r="G12" s="192">
        <f t="shared" si="0"/>
        <v>100000000</v>
      </c>
      <c r="H12" s="280">
        <f>IF(F12&gt;E12,1,0)</f>
        <v>0</v>
      </c>
      <c r="I12" s="280">
        <f>IF(G12&lt;0,1,0)</f>
        <v>0</v>
      </c>
    </row>
    <row r="13" spans="1:10" s="168" customFormat="1" x14ac:dyDescent="0.25">
      <c r="A13" s="181"/>
      <c r="B13" s="464" t="s">
        <v>45</v>
      </c>
      <c r="C13" s="190"/>
      <c r="D13" s="190"/>
      <c r="E13" s="194"/>
      <c r="F13" s="194"/>
      <c r="G13" s="190"/>
      <c r="H13" s="280">
        <f>IF(F13&gt;E13,1,0)</f>
        <v>0</v>
      </c>
      <c r="I13" s="280">
        <f>IF(G13&lt;0,1,0)</f>
        <v>0</v>
      </c>
    </row>
    <row r="14" spans="1:10" s="168" customFormat="1" ht="118.8" x14ac:dyDescent="0.25">
      <c r="A14" s="1255"/>
      <c r="B14" s="1261" t="s">
        <v>744</v>
      </c>
      <c r="C14" s="145" t="s">
        <v>745</v>
      </c>
      <c r="D14" s="266"/>
      <c r="E14" s="436"/>
      <c r="F14" s="436"/>
      <c r="G14" s="183">
        <f>D14-E14</f>
        <v>0</v>
      </c>
      <c r="H14" s="280">
        <f>IF(F14&gt;E14,1,0)</f>
        <v>0</v>
      </c>
      <c r="I14" s="280">
        <f>IF(G14&lt;0,1,0)</f>
        <v>0</v>
      </c>
    </row>
    <row r="15" spans="1:10" s="359" customFormat="1" x14ac:dyDescent="0.25">
      <c r="A15" s="1139"/>
      <c r="B15" s="690" t="s">
        <v>66</v>
      </c>
      <c r="C15" s="1140" t="s">
        <v>745</v>
      </c>
      <c r="D15" s="691">
        <f>100000000+90000000+100000000</f>
        <v>290000000</v>
      </c>
      <c r="E15" s="688">
        <f>'Проверочная  таблица'!TR38</f>
        <v>190000000</v>
      </c>
      <c r="F15" s="688">
        <f>'Проверочная  таблица'!TT38</f>
        <v>140761606.75999999</v>
      </c>
      <c r="G15" s="692">
        <f t="shared" ref="G15" si="1">D15-E15</f>
        <v>100000000</v>
      </c>
      <c r="H15" s="1141">
        <f t="shared" ref="H15" si="2">IF(F15&gt;E15,1,0)</f>
        <v>0</v>
      </c>
      <c r="I15" s="1141">
        <f t="shared" ref="I15" si="3">IF(G15&lt;0,1,0)</f>
        <v>0</v>
      </c>
    </row>
    <row r="16" spans="1:10" s="168" customFormat="1" ht="171.6" x14ac:dyDescent="0.25">
      <c r="A16" s="1131"/>
      <c r="B16" s="469" t="s">
        <v>527</v>
      </c>
      <c r="C16" s="145" t="s">
        <v>529</v>
      </c>
      <c r="D16" s="266"/>
      <c r="E16" s="436"/>
      <c r="F16" s="436"/>
      <c r="G16" s="183">
        <f>D16-E16</f>
        <v>0</v>
      </c>
      <c r="H16" s="280">
        <f>IF(F16&gt;E16,1,0)</f>
        <v>0</v>
      </c>
      <c r="I16" s="280">
        <f>IF(G16&lt;0,1,0)</f>
        <v>0</v>
      </c>
      <c r="J16" s="1142">
        <f>D16+D17</f>
        <v>0</v>
      </c>
    </row>
    <row r="17" spans="1:10" s="359" customFormat="1" x14ac:dyDescent="0.25">
      <c r="A17" s="1139"/>
      <c r="B17" s="690" t="s">
        <v>66</v>
      </c>
      <c r="C17" s="1140" t="s">
        <v>529</v>
      </c>
      <c r="D17" s="691"/>
      <c r="E17" s="688">
        <f>'Проверочная  таблица'!UD38</f>
        <v>0</v>
      </c>
      <c r="F17" s="688">
        <f>'Проверочная  таблица'!UG38</f>
        <v>0</v>
      </c>
      <c r="G17" s="692">
        <f t="shared" ref="G17" si="4">D17-E17</f>
        <v>0</v>
      </c>
      <c r="H17" s="1141">
        <f t="shared" ref="H17" si="5">IF(F17&gt;E17,1,0)</f>
        <v>0</v>
      </c>
      <c r="I17" s="1141">
        <f t="shared" ref="I17" si="6">IF(G17&lt;0,1,0)</f>
        <v>0</v>
      </c>
    </row>
    <row r="18" spans="1:10" s="168" customFormat="1" ht="171.6" x14ac:dyDescent="0.25">
      <c r="A18" s="1131"/>
      <c r="B18" s="469" t="s">
        <v>778</v>
      </c>
      <c r="C18" s="145" t="s">
        <v>530</v>
      </c>
      <c r="D18" s="266"/>
      <c r="E18" s="436"/>
      <c r="F18" s="436"/>
      <c r="G18" s="183">
        <f>D18-E18</f>
        <v>0</v>
      </c>
      <c r="H18" s="280">
        <f>IF(F18&gt;E18,1,0)</f>
        <v>0</v>
      </c>
      <c r="I18" s="280">
        <f>IF(G18&lt;0,1,0)</f>
        <v>0</v>
      </c>
      <c r="J18" s="1142">
        <f>D18+D19</f>
        <v>580000000</v>
      </c>
    </row>
    <row r="19" spans="1:10" s="359" customFormat="1" x14ac:dyDescent="0.25">
      <c r="A19" s="1139"/>
      <c r="B19" s="690" t="s">
        <v>66</v>
      </c>
      <c r="C19" s="1140" t="s">
        <v>530</v>
      </c>
      <c r="D19" s="691">
        <f>358000000+222000000</f>
        <v>580000000</v>
      </c>
      <c r="E19" s="688">
        <f>'Проверочная  таблица'!UE38</f>
        <v>580000000</v>
      </c>
      <c r="F19" s="688">
        <f>'Проверочная  таблица'!UH38</f>
        <v>411530503.02999997</v>
      </c>
      <c r="G19" s="692">
        <f t="shared" ref="G19" si="7">D19-E19</f>
        <v>0</v>
      </c>
      <c r="H19" s="1141">
        <f t="shared" ref="H19" si="8">IF(F19&gt;E19,1,0)</f>
        <v>0</v>
      </c>
      <c r="I19" s="1141">
        <f t="shared" ref="I19" si="9">IF(G19&lt;0,1,0)</f>
        <v>0</v>
      </c>
    </row>
    <row r="20" spans="1:10" x14ac:dyDescent="0.25">
      <c r="A20" s="1131"/>
      <c r="B20" s="469"/>
      <c r="C20" s="145"/>
      <c r="D20" s="266"/>
      <c r="E20" s="182"/>
      <c r="F20" s="182"/>
      <c r="G20" s="183"/>
      <c r="H20" s="280"/>
      <c r="I20" s="280"/>
    </row>
    <row r="21" spans="1:10" x14ac:dyDescent="0.25">
      <c r="A21" s="180" t="s">
        <v>58</v>
      </c>
      <c r="B21" s="247" t="s">
        <v>59</v>
      </c>
      <c r="C21" s="189"/>
      <c r="D21" s="192">
        <f>SUM(D23:D30)</f>
        <v>592852491.04999995</v>
      </c>
      <c r="E21" s="192">
        <f t="shared" ref="E21:G21" si="10">SUM(E23:E30)</f>
        <v>592852491.04999995</v>
      </c>
      <c r="F21" s="192">
        <f t="shared" si="10"/>
        <v>315389297.36000001</v>
      </c>
      <c r="G21" s="192">
        <f t="shared" si="10"/>
        <v>0</v>
      </c>
      <c r="H21" s="280">
        <f>IF(F21&gt;E21,1,0)</f>
        <v>0</v>
      </c>
      <c r="I21" s="280">
        <f>IF(G21&lt;0,1,0)</f>
        <v>0</v>
      </c>
    </row>
    <row r="22" spans="1:10" x14ac:dyDescent="0.25">
      <c r="A22" s="181"/>
      <c r="B22" s="464" t="s">
        <v>45</v>
      </c>
      <c r="C22" s="190"/>
      <c r="D22" s="190"/>
      <c r="E22" s="194"/>
      <c r="F22" s="194"/>
      <c r="G22" s="190"/>
      <c r="H22" s="280">
        <f>IF(F22&gt;E22,1,0)</f>
        <v>0</v>
      </c>
      <c r="I22" s="280">
        <f>IF(G22&lt;0,1,0)</f>
        <v>0</v>
      </c>
    </row>
    <row r="23" spans="1:10" ht="145.19999999999999" x14ac:dyDescent="0.25">
      <c r="A23" s="181"/>
      <c r="B23" s="989" t="s">
        <v>544</v>
      </c>
      <c r="C23" s="145" t="s">
        <v>543</v>
      </c>
      <c r="D23" s="993">
        <v>78807712</v>
      </c>
      <c r="E23" s="988">
        <f>'Проверочная  таблица'!SZ37</f>
        <v>78807712</v>
      </c>
      <c r="F23" s="988">
        <f>'Проверочная  таблица'!TI37</f>
        <v>54009415.780000001</v>
      </c>
      <c r="G23" s="183">
        <f>D23-E23</f>
        <v>0</v>
      </c>
      <c r="H23" s="280">
        <f>IF(F23&gt;E23,1,0)</f>
        <v>0</v>
      </c>
      <c r="I23" s="280">
        <f>IF(G23&lt;0,1,0)</f>
        <v>0</v>
      </c>
      <c r="J23" s="1142">
        <f>D23+D24</f>
        <v>281456112</v>
      </c>
    </row>
    <row r="24" spans="1:10" s="359" customFormat="1" x14ac:dyDescent="0.25">
      <c r="A24" s="1139"/>
      <c r="B24" s="690" t="s">
        <v>66</v>
      </c>
      <c r="C24" s="1140" t="s">
        <v>543</v>
      </c>
      <c r="D24" s="691">
        <v>202648400</v>
      </c>
      <c r="E24" s="688">
        <f>'Проверочная  таблица'!TA37</f>
        <v>202648400</v>
      </c>
      <c r="F24" s="688">
        <f>'Проверочная  таблица'!TJ37</f>
        <v>138881353.33000001</v>
      </c>
      <c r="G24" s="692">
        <f t="shared" ref="G24:G29" si="11">D24-E24</f>
        <v>0</v>
      </c>
      <c r="H24" s="1141">
        <f t="shared" ref="H24:H29" si="12">IF(F24&gt;E24,1,0)</f>
        <v>0</v>
      </c>
      <c r="I24" s="1141">
        <f t="shared" ref="I24:I29" si="13">IF(G24&lt;0,1,0)</f>
        <v>0</v>
      </c>
    </row>
    <row r="25" spans="1:10" ht="158.4" x14ac:dyDescent="0.25">
      <c r="A25" s="181"/>
      <c r="B25" s="989" t="s">
        <v>818</v>
      </c>
      <c r="C25" s="145" t="s">
        <v>809</v>
      </c>
      <c r="D25" s="1470">
        <v>12370582.76</v>
      </c>
      <c r="E25" s="988">
        <f>'Проверочная  таблица'!TD37</f>
        <v>12370582.76</v>
      </c>
      <c r="F25" s="988">
        <f>'Проверочная  таблица'!TM37</f>
        <v>3208889.01</v>
      </c>
      <c r="G25" s="183">
        <f>D25-E25</f>
        <v>0</v>
      </c>
      <c r="H25" s="280">
        <f>IF(F25&gt;E25,1,0)</f>
        <v>0</v>
      </c>
      <c r="I25" s="280">
        <f>IF(G25&lt;0,1,0)</f>
        <v>0</v>
      </c>
      <c r="J25" s="1142">
        <f>D25+D26</f>
        <v>44180582.759999998</v>
      </c>
    </row>
    <row r="26" spans="1:10" s="359" customFormat="1" x14ac:dyDescent="0.25">
      <c r="A26" s="1139"/>
      <c r="B26" s="690" t="s">
        <v>66</v>
      </c>
      <c r="C26" s="1140" t="s">
        <v>809</v>
      </c>
      <c r="D26" s="691">
        <v>31810000</v>
      </c>
      <c r="E26" s="688">
        <f>'Проверочная  таблица'!TE37</f>
        <v>31810000</v>
      </c>
      <c r="F26" s="688">
        <f>'Проверочная  таблица'!TN37</f>
        <v>8251410.75</v>
      </c>
      <c r="G26" s="692">
        <f t="shared" ref="G26" si="14">D26-E26</f>
        <v>0</v>
      </c>
      <c r="H26" s="1141">
        <f t="shared" ref="H26" si="15">IF(F26&gt;E26,1,0)</f>
        <v>0</v>
      </c>
      <c r="I26" s="1141">
        <f t="shared" ref="I26" si="16">IF(G26&lt;0,1,0)</f>
        <v>0</v>
      </c>
    </row>
    <row r="27" spans="1:10" s="365" customFormat="1" ht="145.19999999999999" x14ac:dyDescent="0.25">
      <c r="A27" s="181"/>
      <c r="B27" s="989" t="s">
        <v>717</v>
      </c>
      <c r="C27" s="145" t="s">
        <v>716</v>
      </c>
      <c r="D27" s="993">
        <v>35620396.289999999</v>
      </c>
      <c r="E27" s="1116">
        <f>'Проверочная  таблица'!TB37</f>
        <v>35620396.289999999</v>
      </c>
      <c r="F27" s="1116">
        <f>'Проверочная  таблица'!TK37</f>
        <v>26684624.640000001</v>
      </c>
      <c r="G27" s="183">
        <f>D27-E27</f>
        <v>0</v>
      </c>
      <c r="H27" s="280">
        <f>IF(F27&gt;E27,1,0)</f>
        <v>0</v>
      </c>
      <c r="I27" s="280">
        <f>IF(G27&lt;0,1,0)</f>
        <v>0</v>
      </c>
      <c r="J27" s="1142">
        <f>D27+D28</f>
        <v>127215796.28999999</v>
      </c>
    </row>
    <row r="28" spans="1:10" s="365" customFormat="1" x14ac:dyDescent="0.25">
      <c r="A28" s="1139"/>
      <c r="B28" s="690" t="s">
        <v>66</v>
      </c>
      <c r="C28" s="1140" t="s">
        <v>716</v>
      </c>
      <c r="D28" s="691">
        <v>91595400</v>
      </c>
      <c r="E28" s="688">
        <f>'Проверочная  таблица'!TC37</f>
        <v>91595400</v>
      </c>
      <c r="F28" s="688">
        <f>'Проверочная  таблица'!TL37</f>
        <v>68617677.549999997</v>
      </c>
      <c r="G28" s="692">
        <f t="shared" ref="G28" si="17">D28-E28</f>
        <v>0</v>
      </c>
      <c r="H28" s="1141">
        <f t="shared" ref="H28" si="18">IF(F28&gt;E28,1,0)</f>
        <v>0</v>
      </c>
      <c r="I28" s="1141">
        <f t="shared" ref="I28" si="19">IF(G28&lt;0,1,0)</f>
        <v>0</v>
      </c>
      <c r="J28" s="359"/>
    </row>
    <row r="29" spans="1:10" s="365" customFormat="1" ht="158.4" x14ac:dyDescent="0.25">
      <c r="A29" s="245"/>
      <c r="B29" s="466" t="s">
        <v>715</v>
      </c>
      <c r="C29" s="145" t="s">
        <v>714</v>
      </c>
      <c r="D29" s="1228">
        <v>12370582.76</v>
      </c>
      <c r="E29" s="485">
        <f>'Проверочная  таблица'!TF37</f>
        <v>12370582.76</v>
      </c>
      <c r="F29" s="485">
        <f>'Проверочная  таблица'!TO37</f>
        <v>0</v>
      </c>
      <c r="G29" s="183">
        <f t="shared" si="11"/>
        <v>0</v>
      </c>
      <c r="H29" s="280">
        <f t="shared" si="12"/>
        <v>0</v>
      </c>
      <c r="I29" s="280">
        <f t="shared" si="13"/>
        <v>0</v>
      </c>
    </row>
    <row r="30" spans="1:10" ht="198" x14ac:dyDescent="0.25">
      <c r="A30" s="181"/>
      <c r="B30" s="989" t="s">
        <v>542</v>
      </c>
      <c r="C30" s="145" t="s">
        <v>541</v>
      </c>
      <c r="D30" s="993">
        <f>140000000-12370582.76</f>
        <v>127629417.23999999</v>
      </c>
      <c r="E30" s="1116">
        <f>'Проверочная  таблица'!TG37</f>
        <v>127629417.23999999</v>
      </c>
      <c r="F30" s="1116">
        <f>'Проверочная  таблица'!TP37</f>
        <v>15735926.300000001</v>
      </c>
      <c r="G30" s="183">
        <f>D30-E30</f>
        <v>0</v>
      </c>
      <c r="H30" s="280">
        <f>IF(F30&gt;E30,1,0)</f>
        <v>0</v>
      </c>
      <c r="I30" s="280">
        <f>IF(G30&lt;0,1,0)</f>
        <v>0</v>
      </c>
    </row>
    <row r="31" spans="1:10" x14ac:dyDescent="0.25">
      <c r="A31" s="1131"/>
      <c r="B31" s="469"/>
      <c r="C31" s="145"/>
      <c r="D31" s="266"/>
      <c r="E31" s="182"/>
      <c r="F31" s="182"/>
      <c r="G31" s="183"/>
      <c r="H31" s="280"/>
      <c r="I31" s="280"/>
    </row>
    <row r="32" spans="1:10" x14ac:dyDescent="0.25">
      <c r="A32" s="180">
        <v>1102</v>
      </c>
      <c r="B32" s="247" t="s">
        <v>545</v>
      </c>
      <c r="C32" s="189"/>
      <c r="D32" s="192">
        <f>SUM(D34:D35)</f>
        <v>570000</v>
      </c>
      <c r="E32" s="192">
        <f t="shared" ref="E32:G32" si="20">SUM(E34:E35)</f>
        <v>0</v>
      </c>
      <c r="F32" s="192">
        <f t="shared" si="20"/>
        <v>0</v>
      </c>
      <c r="G32" s="192">
        <f t="shared" si="20"/>
        <v>570000</v>
      </c>
      <c r="H32" s="280">
        <f>IF(F32&gt;E32,1,0)</f>
        <v>0</v>
      </c>
      <c r="I32" s="280">
        <f>IF(G32&lt;0,1,0)</f>
        <v>0</v>
      </c>
    </row>
    <row r="33" spans="1:10" x14ac:dyDescent="0.25">
      <c r="A33" s="181"/>
      <c r="B33" s="464" t="s">
        <v>45</v>
      </c>
      <c r="C33" s="190"/>
      <c r="D33" s="190"/>
      <c r="E33" s="194"/>
      <c r="F33" s="194"/>
      <c r="G33" s="190"/>
      <c r="H33" s="280">
        <f>IF(F33&gt;E33,1,0)</f>
        <v>0</v>
      </c>
      <c r="I33" s="280">
        <f>IF(G33&lt;0,1,0)</f>
        <v>0</v>
      </c>
    </row>
    <row r="34" spans="1:10" ht="105.6" x14ac:dyDescent="0.25">
      <c r="A34" s="1131"/>
      <c r="B34" s="469" t="s">
        <v>546</v>
      </c>
      <c r="C34" s="145" t="s">
        <v>536</v>
      </c>
      <c r="D34" s="266">
        <v>570000</v>
      </c>
      <c r="E34" s="436">
        <f>'Проверочная  таблица'!UT37</f>
        <v>0</v>
      </c>
      <c r="F34" s="436">
        <f>'Проверочная  таблица'!UW37</f>
        <v>0</v>
      </c>
      <c r="G34" s="183">
        <f>D34-E34</f>
        <v>570000</v>
      </c>
      <c r="H34" s="280">
        <f>IF(F34&gt;E34,1,0)</f>
        <v>0</v>
      </c>
      <c r="I34" s="280">
        <f>IF(G34&lt;0,1,0)</f>
        <v>0</v>
      </c>
      <c r="J34" s="1142">
        <f>D34+D35</f>
        <v>570000</v>
      </c>
    </row>
    <row r="35" spans="1:10" s="359" customFormat="1" x14ac:dyDescent="0.25">
      <c r="A35" s="1139"/>
      <c r="B35" s="690" t="s">
        <v>66</v>
      </c>
      <c r="C35" s="1140" t="s">
        <v>536</v>
      </c>
      <c r="D35" s="691">
        <f>10830000-10830000</f>
        <v>0</v>
      </c>
      <c r="E35" s="688">
        <f>'Проверочная  таблица'!UU37</f>
        <v>0</v>
      </c>
      <c r="F35" s="688">
        <f>'Проверочная  таблица'!UX37</f>
        <v>0</v>
      </c>
      <c r="G35" s="692">
        <f t="shared" ref="G35" si="21">D35-E35</f>
        <v>0</v>
      </c>
      <c r="H35" s="1141">
        <f t="shared" ref="H35" si="22">IF(F35&gt;E35,1,0)</f>
        <v>0</v>
      </c>
      <c r="I35" s="1141">
        <f t="shared" ref="I35" si="23">IF(G35&lt;0,1,0)</f>
        <v>0</v>
      </c>
    </row>
    <row r="36" spans="1:10" x14ac:dyDescent="0.25">
      <c r="A36" s="1131"/>
      <c r="B36" s="469"/>
      <c r="C36" s="145"/>
      <c r="D36" s="266"/>
      <c r="E36" s="182"/>
      <c r="F36" s="182"/>
      <c r="G36" s="183"/>
      <c r="H36" s="280"/>
      <c r="I36" s="280"/>
    </row>
    <row r="37" spans="1:10" s="1137" customFormat="1" x14ac:dyDescent="0.25">
      <c r="A37" s="1763" t="s">
        <v>1</v>
      </c>
      <c r="B37" s="1763"/>
      <c r="C37" s="176"/>
      <c r="D37" s="176">
        <f>D8+D12+D21+D32</f>
        <v>1463422491.05</v>
      </c>
      <c r="E37" s="176">
        <f>E8+E12+E21+E32</f>
        <v>1362852491.05</v>
      </c>
      <c r="F37" s="176">
        <f>F8+F12+F21+F32</f>
        <v>867681407.14999998</v>
      </c>
      <c r="G37" s="176">
        <f>G8+G12+G21+G32</f>
        <v>100570000</v>
      </c>
      <c r="H37" s="1136">
        <f>SUM(H20:H31)</f>
        <v>0</v>
      </c>
      <c r="I37" s="1136">
        <f>SUM(I20:I31)</f>
        <v>0</v>
      </c>
    </row>
    <row r="38" spans="1:10" x14ac:dyDescent="0.25">
      <c r="D38" s="1138">
        <f>D37-'[1]Иные межбюджетные трансферты'!$B$39</f>
        <v>0</v>
      </c>
      <c r="E38" s="1138">
        <f>E37-'[1]Иные межбюджетные трансферты'!$B$35</f>
        <v>0</v>
      </c>
      <c r="G38" s="1138">
        <f>G37-'[1]Иные межбюджетные трансферты'!$B$37*1000</f>
        <v>0</v>
      </c>
    </row>
    <row r="40" spans="1:10" x14ac:dyDescent="0.25">
      <c r="C40" s="1754" t="s">
        <v>325</v>
      </c>
      <c r="D40" s="1754"/>
      <c r="E40" s="1754"/>
      <c r="F40" s="1754"/>
      <c r="G40" s="1754"/>
    </row>
    <row r="41" spans="1:10" x14ac:dyDescent="0.25">
      <c r="C41" s="696" t="s">
        <v>549</v>
      </c>
      <c r="D41" s="697">
        <f>D17+D19+D24+D35+D28</f>
        <v>874243800</v>
      </c>
      <c r="E41" s="697">
        <f>E17+E19+E24+E35+E28</f>
        <v>874243800</v>
      </c>
      <c r="F41" s="697">
        <f>F17+F19+F24+F35+F28</f>
        <v>619029533.90999997</v>
      </c>
      <c r="G41" s="697">
        <f>G17+G19+G24+G35+G28</f>
        <v>0</v>
      </c>
    </row>
    <row r="42" spans="1:10" x14ac:dyDescent="0.25">
      <c r="C42" s="1754" t="s">
        <v>746</v>
      </c>
      <c r="D42" s="1754"/>
      <c r="E42" s="1754"/>
      <c r="F42" s="1754"/>
      <c r="G42" s="1754"/>
    </row>
    <row r="43" spans="1:10" x14ac:dyDescent="0.25">
      <c r="C43" s="696" t="s">
        <v>549</v>
      </c>
      <c r="D43" s="697">
        <f>D15+D26</f>
        <v>321810000</v>
      </c>
      <c r="E43" s="697">
        <f>E15+E26</f>
        <v>221810000</v>
      </c>
      <c r="F43" s="697">
        <f>F15+F26</f>
        <v>149013017.50999999</v>
      </c>
      <c r="G43" s="697">
        <f>G15+G26</f>
        <v>100000000</v>
      </c>
    </row>
    <row r="44" spans="1:10" ht="14.4" thickBot="1" x14ac:dyDescent="0.3"/>
    <row r="45" spans="1:10" ht="55.8" thickBot="1" x14ac:dyDescent="0.3">
      <c r="D45" s="1492">
        <v>326053800</v>
      </c>
      <c r="E45" s="274" t="s">
        <v>565</v>
      </c>
      <c r="F45" s="1492">
        <v>215750441.63</v>
      </c>
    </row>
    <row r="47" spans="1:10" x14ac:dyDescent="0.25">
      <c r="D47" s="1296">
        <f>D41-D45-D17-D19+D26</f>
        <v>0</v>
      </c>
      <c r="E47" s="263" t="s">
        <v>179</v>
      </c>
      <c r="F47" s="1296">
        <f>F41-F45-F17-F19+F26</f>
        <v>0</v>
      </c>
    </row>
  </sheetData>
  <mergeCells count="6">
    <mergeCell ref="C42:G42"/>
    <mergeCell ref="A37:B37"/>
    <mergeCell ref="A2:G2"/>
    <mergeCell ref="A3:G3"/>
    <mergeCell ref="A4:G4"/>
    <mergeCell ref="C40:G40"/>
  </mergeCells>
  <phoneticPr fontId="0" type="noConversion"/>
  <pageMargins left="0.78740157480314965" right="0.39370078740157483" top="0.78740157480314965" bottom="0.78740157480314965" header="0.51181102362204722" footer="0.51181102362204722"/>
  <pageSetup paperSize="9" scale="55" fitToHeight="2" orientation="portrait" horizontalDpi="300" verticalDpi="300"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G28"/>
  <sheetViews>
    <sheetView topLeftCell="A2" zoomScale="80" zoomScaleNormal="80" workbookViewId="0">
      <pane xSplit="1" ySplit="4" topLeftCell="B23" activePane="bottomRight" state="frozen"/>
      <selection activeCell="D27" sqref="D27"/>
      <selection pane="topRight" activeCell="D27" sqref="D27"/>
      <selection pane="bottomLeft" activeCell="D27" sqref="D27"/>
      <selection pane="bottomRight" activeCell="E25" sqref="E25"/>
    </sheetView>
  </sheetViews>
  <sheetFormatPr defaultColWidth="8.77734375" defaultRowHeight="13.8" x14ac:dyDescent="0.25"/>
  <cols>
    <col min="1" max="1" width="79.21875" style="479" customWidth="1"/>
    <col min="2" max="2" width="18" style="479" customWidth="1"/>
    <col min="3" max="4" width="20.44140625" style="479" bestFit="1" customWidth="1"/>
    <col min="5" max="5" width="18.5546875" style="479" bestFit="1" customWidth="1"/>
    <col min="6" max="6" width="18.77734375" style="479" bestFit="1" customWidth="1"/>
    <col min="7" max="16384" width="8.77734375" style="479"/>
  </cols>
  <sheetData>
    <row r="2" spans="1:6" x14ac:dyDescent="0.25">
      <c r="A2" s="1765" t="s">
        <v>781</v>
      </c>
      <c r="B2" s="1765"/>
      <c r="C2" s="1765"/>
      <c r="D2" s="1765"/>
      <c r="E2" s="1765"/>
      <c r="F2" s="1765"/>
    </row>
    <row r="4" spans="1:6" x14ac:dyDescent="0.25">
      <c r="E4" s="479" t="s">
        <v>782</v>
      </c>
    </row>
    <row r="5" spans="1:6" ht="26.4" x14ac:dyDescent="0.25">
      <c r="A5" s="178" t="s">
        <v>174</v>
      </c>
      <c r="B5" s="178" t="s">
        <v>19</v>
      </c>
      <c r="C5" s="178" t="s">
        <v>14</v>
      </c>
      <c r="D5" s="178" t="s">
        <v>176</v>
      </c>
      <c r="E5" s="178" t="s">
        <v>4</v>
      </c>
      <c r="F5" s="178" t="s">
        <v>175</v>
      </c>
    </row>
    <row r="6" spans="1:6" ht="66" x14ac:dyDescent="0.25">
      <c r="A6" s="469" t="s">
        <v>270</v>
      </c>
      <c r="B6" s="1375" t="s">
        <v>269</v>
      </c>
      <c r="C6" s="1377">
        <f>'Нераспределенная  субсидия'!D364</f>
        <v>88386939.620000005</v>
      </c>
      <c r="D6" s="1377">
        <f>'Нераспределенная  субсидия'!E364</f>
        <v>88386939.620000005</v>
      </c>
      <c r="E6" s="1377">
        <f>'Нераспределенная  субсидия'!F364</f>
        <v>22763727.43</v>
      </c>
      <c r="F6" s="1377">
        <f>'Нераспределенная  субсидия'!G364</f>
        <v>0</v>
      </c>
    </row>
    <row r="7" spans="1:6" ht="145.19999999999999" x14ac:dyDescent="0.25">
      <c r="A7" s="838" t="s">
        <v>590</v>
      </c>
      <c r="B7" s="1375" t="s">
        <v>587</v>
      </c>
      <c r="C7" s="1377">
        <f>'Нераспределенная  субсидия'!D355+'Нераспределенная  субсидия'!D358</f>
        <v>61750000</v>
      </c>
      <c r="D7" s="1377">
        <f>'Нераспределенная  субсидия'!E355+'Нераспределенная  субсидия'!E358</f>
        <v>61750000</v>
      </c>
      <c r="E7" s="1377">
        <f>'Нераспределенная  субсидия'!F355+'Нераспределенная  субсидия'!F358</f>
        <v>11173439.01</v>
      </c>
      <c r="F7" s="1377">
        <f>'Нераспределенная  субсидия'!G355+'Нераспределенная  субсидия'!G358</f>
        <v>0</v>
      </c>
    </row>
    <row r="8" spans="1:6" ht="105.6" x14ac:dyDescent="0.25">
      <c r="A8" s="465" t="s">
        <v>249</v>
      </c>
      <c r="B8" s="1375" t="s">
        <v>220</v>
      </c>
      <c r="C8" s="1377">
        <f>'Нераспределенная  субсидия'!D514</f>
        <v>473532530</v>
      </c>
      <c r="D8" s="1377">
        <f>'Нераспределенная  субсидия'!E514</f>
        <v>473532530</v>
      </c>
      <c r="E8" s="1377">
        <f>'Нераспределенная  субсидия'!F514</f>
        <v>321831814</v>
      </c>
      <c r="F8" s="1377">
        <f>'Нераспределенная  субсидия'!G514</f>
        <v>0</v>
      </c>
    </row>
    <row r="9" spans="1:6" ht="92.4" x14ac:dyDescent="0.25">
      <c r="A9" s="465" t="s">
        <v>400</v>
      </c>
      <c r="B9" s="1375" t="s">
        <v>397</v>
      </c>
      <c r="C9" s="1377">
        <f>'Нераспределенная  субсидия'!D180</f>
        <v>2308838.8900000006</v>
      </c>
      <c r="D9" s="1377">
        <f>'Нераспределенная  субсидия'!E180</f>
        <v>0</v>
      </c>
      <c r="E9" s="1377">
        <f>'Нераспределенная  субсидия'!F180</f>
        <v>0</v>
      </c>
      <c r="F9" s="1377">
        <f>'Нераспределенная  субсидия'!G180</f>
        <v>2308838.8900000006</v>
      </c>
    </row>
    <row r="10" spans="1:6" ht="158.4" x14ac:dyDescent="0.25">
      <c r="A10" s="465" t="s">
        <v>851</v>
      </c>
      <c r="B10" s="1375" t="s">
        <v>850</v>
      </c>
      <c r="C10" s="1377">
        <f>'Нераспределенная  субсидия'!D183+'Нераспределенная  субсидия'!D186</f>
        <v>196039861.11000001</v>
      </c>
      <c r="D10" s="1377">
        <f>'Нераспределенная  субсидия'!E183+'Нераспределенная  субсидия'!E186</f>
        <v>0</v>
      </c>
      <c r="E10" s="1377">
        <f>'Нераспределенная  субсидия'!F183+'Нераспределенная  субсидия'!F186</f>
        <v>0</v>
      </c>
      <c r="F10" s="1377">
        <f>'Нераспределенная  субсидия'!G183+'Нераспределенная  субсидия'!G186</f>
        <v>196039861.11000001</v>
      </c>
    </row>
    <row r="11" spans="1:6" ht="158.4" x14ac:dyDescent="0.25">
      <c r="A11" s="463" t="s">
        <v>743</v>
      </c>
      <c r="B11" s="1375" t="s">
        <v>742</v>
      </c>
      <c r="C11" s="1377">
        <f>'Нераспределенная  субсидия'!D165</f>
        <v>326102873.08999997</v>
      </c>
      <c r="D11" s="1377">
        <f>'Нераспределенная  субсидия'!E165</f>
        <v>326102873.09000003</v>
      </c>
      <c r="E11" s="1377">
        <f>'Нераспределенная  субсидия'!F165</f>
        <v>115229040.47</v>
      </c>
      <c r="F11" s="1377">
        <f>'Нераспределенная  субсидия'!G165</f>
        <v>0</v>
      </c>
    </row>
    <row r="12" spans="1:6" ht="145.19999999999999" x14ac:dyDescent="0.25">
      <c r="A12" s="470" t="s">
        <v>571</v>
      </c>
      <c r="B12" s="1375" t="s">
        <v>569</v>
      </c>
      <c r="C12" s="1377">
        <f>'Нераспределенная  субсидия'!D168</f>
        <v>17163309.109999999</v>
      </c>
      <c r="D12" s="1377">
        <f>'Нераспределенная  субсидия'!E168</f>
        <v>17163309.109999999</v>
      </c>
      <c r="E12" s="1377">
        <f>'Нераспределенная  субсидия'!F168</f>
        <v>6064686.3499999996</v>
      </c>
      <c r="F12" s="1377">
        <f>'Нераспределенная  субсидия'!G168</f>
        <v>0</v>
      </c>
    </row>
    <row r="13" spans="1:6" ht="184.8" x14ac:dyDescent="0.25">
      <c r="A13" s="466" t="s">
        <v>749</v>
      </c>
      <c r="B13" s="1375" t="s">
        <v>750</v>
      </c>
      <c r="C13" s="1377">
        <f>'Нераспределенная  субсидия'!D130+'Нераспределенная  субсидия'!D133</f>
        <v>83694583.340000004</v>
      </c>
      <c r="D13" s="1377">
        <f>'Нераспределенная  субсидия'!E130+'Нераспределенная  субсидия'!E133</f>
        <v>83694583.340000004</v>
      </c>
      <c r="E13" s="1377">
        <f>'Нераспределенная  субсидия'!F130+'Нераспределенная  субсидия'!F133</f>
        <v>38793733.329999998</v>
      </c>
      <c r="F13" s="1377">
        <f>'Нераспределенная  субсидия'!G130+'Нераспределенная  субсидия'!G133</f>
        <v>0</v>
      </c>
    </row>
    <row r="14" spans="1:6" ht="184.8" x14ac:dyDescent="0.25">
      <c r="A14" s="466" t="s">
        <v>660</v>
      </c>
      <c r="B14" s="1375" t="s">
        <v>661</v>
      </c>
      <c r="C14" s="1377">
        <f>'Нераспределенная  субсидия'!D145+'Нераспределенная  субсидия'!D148</f>
        <v>127364861.12</v>
      </c>
      <c r="D14" s="1377">
        <f>'Нераспределенная  субсидия'!E145+'Нераспределенная  субсидия'!E148</f>
        <v>127364861.12</v>
      </c>
      <c r="E14" s="1377">
        <f>'Нераспределенная  субсидия'!F145+'Нераспределенная  субсидия'!F148</f>
        <v>0</v>
      </c>
      <c r="F14" s="1377">
        <f>'Нераспределенная  субсидия'!G145+'Нераспределенная  субсидия'!G148</f>
        <v>0</v>
      </c>
    </row>
    <row r="15" spans="1:6" ht="79.2" x14ac:dyDescent="0.25">
      <c r="A15" s="465" t="s">
        <v>255</v>
      </c>
      <c r="B15" s="1375" t="s">
        <v>225</v>
      </c>
      <c r="C15" s="1377">
        <f>'Нераспределенная  субсидия'!D456</f>
        <v>30909200</v>
      </c>
      <c r="D15" s="1377">
        <f>'Нераспределенная  субсидия'!E456</f>
        <v>30909200</v>
      </c>
      <c r="E15" s="1377">
        <f>'Нераспределенная  субсидия'!F456</f>
        <v>25320669.98</v>
      </c>
      <c r="F15" s="1377">
        <f>'Нераспределенная  субсидия'!G456</f>
        <v>0</v>
      </c>
    </row>
    <row r="16" spans="1:6" ht="92.4" x14ac:dyDescent="0.25">
      <c r="A16" s="465" t="s">
        <v>633</v>
      </c>
      <c r="B16" s="1376" t="s">
        <v>634</v>
      </c>
      <c r="C16" s="1377">
        <f>'Нераспределенная  субсидия'!D52</f>
        <v>8900000</v>
      </c>
      <c r="D16" s="1377">
        <f>'Нераспределенная  субсидия'!E52</f>
        <v>8900000</v>
      </c>
      <c r="E16" s="1377">
        <f>'Нераспределенная  субсидия'!F52</f>
        <v>6037170.2999999998</v>
      </c>
      <c r="F16" s="1377">
        <f>'Нераспределенная  субсидия'!G52</f>
        <v>0</v>
      </c>
    </row>
    <row r="17" spans="1:7" ht="105.6" x14ac:dyDescent="0.25">
      <c r="A17" s="465" t="s">
        <v>568</v>
      </c>
      <c r="B17" s="1376" t="s">
        <v>348</v>
      </c>
      <c r="C17" s="1377">
        <f>'Нераспределенная  субсидия'!D46+'Нераспределенная  субсидия'!D49</f>
        <v>40664583.329999998</v>
      </c>
      <c r="D17" s="1377">
        <f>'Нераспределенная  субсидия'!E46+'Нераспределенная  субсидия'!E49</f>
        <v>40664583.329999998</v>
      </c>
      <c r="E17" s="1377">
        <f>'Нераспределенная  субсидия'!F46+'Нераспределенная  субсидия'!F49</f>
        <v>33705955.770000003</v>
      </c>
      <c r="F17" s="1377">
        <f>'Нераспределенная  субсидия'!G46+'Нераспределенная  субсидия'!G49</f>
        <v>0</v>
      </c>
      <c r="G17" s="1374"/>
    </row>
    <row r="18" spans="1:7" ht="92.4" x14ac:dyDescent="0.25">
      <c r="A18" s="465" t="s">
        <v>563</v>
      </c>
      <c r="B18" s="1375" t="s">
        <v>342</v>
      </c>
      <c r="C18" s="1377">
        <f>'Нераспределенная  субсидия'!D195</f>
        <v>17323533.329999998</v>
      </c>
      <c r="D18" s="1377">
        <f>'Нераспределенная  субсидия'!E195</f>
        <v>0</v>
      </c>
      <c r="E18" s="1377">
        <f>'Нераспределенная  субсидия'!F195</f>
        <v>0</v>
      </c>
      <c r="F18" s="1377">
        <f>'Нераспределенная  субсидия'!G195</f>
        <v>17323533.329999998</v>
      </c>
    </row>
    <row r="19" spans="1:7" ht="92.4" x14ac:dyDescent="0.25">
      <c r="A19" s="465" t="s">
        <v>566</v>
      </c>
      <c r="B19" s="1375" t="s">
        <v>343</v>
      </c>
      <c r="C19" s="1377">
        <f>'Нераспределенная  субсидия'!D189+'Нераспределенная  субсидия'!D192</f>
        <v>11351666.67</v>
      </c>
      <c r="D19" s="1377">
        <f>'Нераспределенная  субсидия'!E189+'Нераспределенная  субсидия'!E192</f>
        <v>10943659.34</v>
      </c>
      <c r="E19" s="1377">
        <f>'Нераспределенная  субсидия'!F189+'Нераспределенная  субсидия'!F192</f>
        <v>4466987.4399999995</v>
      </c>
      <c r="F19" s="1377">
        <f>'Нераспределенная  субсидия'!G189+'Нераспределенная  субсидия'!G192</f>
        <v>408007.33000000054</v>
      </c>
    </row>
    <row r="20" spans="1:7" ht="145.19999999999999" x14ac:dyDescent="0.25">
      <c r="A20" s="468" t="s">
        <v>562</v>
      </c>
      <c r="B20" s="1375" t="s">
        <v>345</v>
      </c>
      <c r="C20" s="1377">
        <f>'Нераспределенная  субсидия'!D81+'Нераспределенная  субсидия'!D84</f>
        <v>71517209.879999995</v>
      </c>
      <c r="D20" s="1377">
        <f>'Нераспределенная  субсидия'!E81+'Нераспределенная  субсидия'!E84</f>
        <v>70054676.989999995</v>
      </c>
      <c r="E20" s="1377">
        <f>'Нераспределенная  субсидия'!F81+'Нераспределенная  субсидия'!F84</f>
        <v>24257752.93</v>
      </c>
      <c r="F20" s="1377">
        <f>'Нераспределенная  субсидия'!G81+'Нераспределенная  субсидия'!G84</f>
        <v>1462532.890000008</v>
      </c>
      <c r="G20" s="1374"/>
    </row>
    <row r="21" spans="1:7" ht="118.8" x14ac:dyDescent="0.25">
      <c r="A21" s="465" t="s">
        <v>666</v>
      </c>
      <c r="B21" s="1376" t="s">
        <v>665</v>
      </c>
      <c r="C21" s="1377">
        <f>'Нераспределенная  субсидия'!D408+'Нераспределенная  субсидия'!D411</f>
        <v>2036111.1099999999</v>
      </c>
      <c r="D21" s="1377">
        <f>'Нераспределенная  субсидия'!E408+'Нераспределенная  субсидия'!E411</f>
        <v>2036111.1099999999</v>
      </c>
      <c r="E21" s="1377">
        <f>'Нераспределенная  субсидия'!F408+'Нераспределенная  субсидия'!F411</f>
        <v>0</v>
      </c>
      <c r="F21" s="1377">
        <f>'Нераспределенная  субсидия'!G408+'Нераспределенная  субсидия'!G411</f>
        <v>0</v>
      </c>
    </row>
    <row r="22" spans="1:7" ht="92.4" x14ac:dyDescent="0.25">
      <c r="A22" s="465" t="s">
        <v>668</v>
      </c>
      <c r="B22" s="1376" t="s">
        <v>667</v>
      </c>
      <c r="C22" s="1377">
        <f>'Нераспределенная  субсидия'!D414</f>
        <v>2046900</v>
      </c>
      <c r="D22" s="1377">
        <f>'Нераспределенная  субсидия'!E414</f>
        <v>1998796.83</v>
      </c>
      <c r="E22" s="1377">
        <f>'Нераспределенная  субсидия'!F414</f>
        <v>0</v>
      </c>
      <c r="F22" s="1377">
        <f>'Нераспределенная  субсидия'!G414</f>
        <v>48103.169999999925</v>
      </c>
    </row>
    <row r="23" spans="1:7" ht="118.8" x14ac:dyDescent="0.25">
      <c r="A23" s="468" t="s">
        <v>256</v>
      </c>
      <c r="B23" s="1375" t="s">
        <v>229</v>
      </c>
      <c r="C23" s="1377">
        <f>'Нераспределенная  субсидия'!D87</f>
        <v>353075858.40999997</v>
      </c>
      <c r="D23" s="1377">
        <f>'Нераспределенная  субсидия'!E87</f>
        <v>345151872.85000002</v>
      </c>
      <c r="E23" s="1377">
        <f>'Нераспределенная  субсидия'!F87</f>
        <v>28947701.23</v>
      </c>
      <c r="F23" s="1377">
        <f>'Нераспределенная  субсидия'!G87</f>
        <v>7923985.5599999428</v>
      </c>
    </row>
    <row r="24" spans="1:7" ht="79.2" x14ac:dyDescent="0.25">
      <c r="A24" s="468" t="s">
        <v>419</v>
      </c>
      <c r="B24" s="145" t="s">
        <v>418</v>
      </c>
      <c r="C24" s="1377">
        <f>'Нераспределенная  субсидия'!D93</f>
        <v>110850996.59</v>
      </c>
      <c r="D24" s="1377">
        <f>'Нераспределенная  субсидия'!E93</f>
        <v>110850996.59</v>
      </c>
      <c r="E24" s="1377">
        <f>'Нераспределенная  субсидия'!F93</f>
        <v>102889342.87</v>
      </c>
      <c r="F24" s="1377">
        <f>'Нераспределенная  субсидия'!G93</f>
        <v>0</v>
      </c>
    </row>
    <row r="25" spans="1:7" ht="92.4" x14ac:dyDescent="0.25">
      <c r="A25" s="468" t="s">
        <v>642</v>
      </c>
      <c r="B25" s="1375" t="s">
        <v>643</v>
      </c>
      <c r="C25" s="1377">
        <f>'Нераспределенная  субсидия'!D99</f>
        <v>225060000</v>
      </c>
      <c r="D25" s="1377">
        <f>'Нераспределенная  субсидия'!E99</f>
        <v>225060000</v>
      </c>
      <c r="E25" s="1377">
        <f>'Нераспределенная  субсидия'!F99</f>
        <v>9610703.5800000001</v>
      </c>
      <c r="F25" s="1377">
        <f>'Нераспределенная  субсидия'!G99</f>
        <v>0</v>
      </c>
    </row>
    <row r="26" spans="1:7" x14ac:dyDescent="0.25">
      <c r="A26" s="1378" t="s">
        <v>148</v>
      </c>
      <c r="B26" s="1379"/>
      <c r="C26" s="1380">
        <f>SUM(C6:C25)</f>
        <v>2250079855.5999994</v>
      </c>
      <c r="D26" s="1380">
        <f>SUM(D6:D25)</f>
        <v>2024564993.3199999</v>
      </c>
      <c r="E26" s="1380">
        <f>SUM(E6:E25)</f>
        <v>751092724.68999994</v>
      </c>
      <c r="F26" s="1380">
        <f>SUM(F6:F25)</f>
        <v>225514862.27999994</v>
      </c>
    </row>
    <row r="27" spans="1:7" x14ac:dyDescent="0.25">
      <c r="C27" s="1381">
        <f>C26-'Нераспределенная  субсидия'!D463</f>
        <v>0</v>
      </c>
      <c r="D27" s="1381">
        <f>D26-'Нераспределенная  субсидия'!E463</f>
        <v>0</v>
      </c>
      <c r="E27" s="1381">
        <f>E26-'Нераспределенная  субсидия'!F463</f>
        <v>0</v>
      </c>
      <c r="F27" s="1381">
        <f>F26-'Нераспределенная  субсидия'!G463</f>
        <v>0</v>
      </c>
    </row>
    <row r="28" spans="1:7" x14ac:dyDescent="0.25">
      <c r="C28" s="1381">
        <f>C26-'Нераспределенная  субсидия'!D469</f>
        <v>0</v>
      </c>
      <c r="D28" s="1381">
        <f>D26-'Нераспределенная  субсидия'!E469-'Нераспределенная  субсидия'!E477-'Нераспределенная  субсидия'!E482-'Нераспределенная  субсидия'!E486</f>
        <v>0</v>
      </c>
      <c r="E28" s="1381">
        <f>E26-'Нераспределенная  субсидия'!F469-'Нераспределенная  субсидия'!F477-'Нераспределенная  субсидия'!F482-'Нераспределенная  субсидия'!F486</f>
        <v>0</v>
      </c>
    </row>
  </sheetData>
  <sheetProtection sheet="1" objects="1" scenarios="1"/>
  <mergeCells count="1">
    <mergeCell ref="A2:F2"/>
  </mergeCells>
  <pageMargins left="0.70866141732283472" right="0.70866141732283472" top="0.74803149606299213" bottom="0.74803149606299213" header="0.31496062992125984" footer="0.31496062992125984"/>
  <pageSetup paperSize="9" scale="50" fitToHeight="3"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S40"/>
  <sheetViews>
    <sheetView topLeftCell="A2" zoomScale="50" zoomScaleNormal="50" zoomScaleSheetLayoutView="50" workbookViewId="0">
      <pane xSplit="1" ySplit="8" topLeftCell="B28" activePane="bottomRight" state="frozen"/>
      <selection activeCell="D27" sqref="D27"/>
      <selection pane="topRight" activeCell="D27" sqref="D27"/>
      <selection pane="bottomLeft" activeCell="D27" sqref="D27"/>
      <selection pane="bottomRight" activeCell="D27" sqref="D27"/>
    </sheetView>
  </sheetViews>
  <sheetFormatPr defaultColWidth="8.77734375" defaultRowHeight="13.2" x14ac:dyDescent="0.25"/>
  <cols>
    <col min="1" max="1" width="24.21875" style="88" customWidth="1"/>
    <col min="2" max="3" width="21" style="88" customWidth="1"/>
    <col min="4" max="4" width="23.77734375" style="88" customWidth="1"/>
    <col min="5" max="5" width="24.77734375" style="88" bestFit="1" customWidth="1"/>
    <col min="6" max="11" width="23.44140625" style="88" customWidth="1"/>
    <col min="12" max="19" width="22.77734375" style="88" customWidth="1"/>
    <col min="20" max="27" width="20.44140625" style="88" customWidth="1"/>
    <col min="28" max="35" width="21.5546875" style="88" customWidth="1"/>
    <col min="36" max="43" width="20" style="88" customWidth="1"/>
    <col min="44" max="51" width="22.44140625" style="88" customWidth="1"/>
    <col min="52" max="59" width="22.77734375" style="88" customWidth="1"/>
    <col min="60" max="67" width="22.21875" style="88" customWidth="1"/>
    <col min="68" max="75" width="19.77734375" style="88" customWidth="1"/>
    <col min="76" max="83" width="22.77734375" style="88" customWidth="1"/>
    <col min="84" max="91" width="19.77734375" style="88" customWidth="1"/>
    <col min="92" max="99" width="20.44140625" style="88" customWidth="1"/>
    <col min="100" max="107" width="20.21875" style="88" customWidth="1"/>
    <col min="108" max="115" width="23.21875" style="88" customWidth="1"/>
    <col min="116" max="123" width="22.44140625" style="88" customWidth="1"/>
    <col min="124" max="139" width="22.21875" style="88" customWidth="1"/>
    <col min="140" max="147" width="23.77734375" style="88" customWidth="1"/>
    <col min="148" max="155" width="22.44140625" style="88" customWidth="1"/>
    <col min="156" max="163" width="23.5546875" style="88" customWidth="1"/>
    <col min="164" max="171" width="22.77734375" style="88" customWidth="1"/>
    <col min="172" max="179" width="21.44140625" style="88" customWidth="1"/>
    <col min="180" max="187" width="22.77734375" style="88" customWidth="1"/>
    <col min="188" max="203" width="19.77734375" style="88" customWidth="1"/>
    <col min="204" max="211" width="22.21875" style="88" customWidth="1"/>
    <col min="212" max="219" width="21.5546875" style="88" customWidth="1"/>
    <col min="220" max="220" width="21" style="88" customWidth="1"/>
    <col min="221" max="221" width="21.21875" style="88" bestFit="1" customWidth="1"/>
    <col min="222" max="223" width="16" style="88" customWidth="1"/>
    <col min="224" max="224" width="25.5546875" style="88" customWidth="1"/>
    <col min="225" max="225" width="20.21875" style="88" customWidth="1"/>
    <col min="226" max="227" width="17.77734375" style="88" customWidth="1"/>
    <col min="228" max="257" width="9.21875" style="88"/>
    <col min="258" max="16384" width="8.77734375" style="88"/>
  </cols>
  <sheetData>
    <row r="2" spans="1:227" ht="19.2" x14ac:dyDescent="0.35">
      <c r="I2" s="86" t="s">
        <v>789</v>
      </c>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row>
    <row r="3" spans="1:227" ht="19.2" x14ac:dyDescent="0.35">
      <c r="J3" s="492" t="str">
        <f>'Район  и  поселения'!E3</f>
        <v>ПО  СОСТОЯНИЮ  НА  1  ОКТЯБРЯ  2019  ГОДА</v>
      </c>
      <c r="Q3" s="492"/>
      <c r="R3" s="492"/>
      <c r="S3" s="492"/>
    </row>
    <row r="5" spans="1:227" ht="13.8" thickBot="1" x14ac:dyDescent="0.3">
      <c r="D5" s="90"/>
      <c r="E5" s="90"/>
      <c r="F5" s="90"/>
      <c r="G5" s="90"/>
    </row>
    <row r="6" spans="1:227" ht="47.1" customHeight="1" thickBot="1" x14ac:dyDescent="0.3">
      <c r="A6" s="1702" t="s">
        <v>73</v>
      </c>
      <c r="B6" s="1390"/>
      <c r="C6" s="1390"/>
      <c r="D6" s="1691" t="s">
        <v>599</v>
      </c>
      <c r="E6" s="1692"/>
      <c r="F6" s="1692"/>
      <c r="G6" s="1692"/>
      <c r="H6" s="1692"/>
      <c r="I6" s="1692"/>
      <c r="J6" s="1692"/>
      <c r="K6" s="1692"/>
      <c r="L6" s="1692"/>
      <c r="M6" s="1692"/>
      <c r="N6" s="1692"/>
      <c r="O6" s="1692"/>
      <c r="P6" s="1692"/>
      <c r="Q6" s="1692"/>
      <c r="R6" s="1692"/>
      <c r="S6" s="1692"/>
      <c r="T6" s="1692"/>
      <c r="U6" s="1692"/>
      <c r="V6" s="1692"/>
      <c r="W6" s="1692"/>
      <c r="X6" s="1692"/>
      <c r="Y6" s="1692"/>
      <c r="Z6" s="1692"/>
      <c r="AA6" s="1692"/>
      <c r="AB6" s="1692"/>
      <c r="AC6" s="1692"/>
      <c r="AD6" s="1692"/>
      <c r="AE6" s="1692"/>
      <c r="AF6" s="1692"/>
      <c r="AG6" s="1692"/>
      <c r="AH6" s="1692"/>
      <c r="AI6" s="1692"/>
      <c r="AJ6" s="1692"/>
      <c r="AK6" s="1692"/>
      <c r="AL6" s="1692"/>
      <c r="AM6" s="1692"/>
      <c r="AN6" s="1692"/>
      <c r="AO6" s="1692"/>
      <c r="AP6" s="1692"/>
      <c r="AQ6" s="1692"/>
      <c r="AR6" s="1692"/>
      <c r="AS6" s="1692"/>
      <c r="AT6" s="1692"/>
      <c r="AU6" s="1692"/>
      <c r="AV6" s="1692"/>
      <c r="AW6" s="1692"/>
      <c r="AX6" s="1692"/>
      <c r="AY6" s="1692"/>
      <c r="AZ6" s="1692"/>
      <c r="BA6" s="1692"/>
      <c r="BB6" s="1692"/>
      <c r="BC6" s="1692"/>
      <c r="BD6" s="1692"/>
      <c r="BE6" s="1692"/>
      <c r="BF6" s="1692"/>
      <c r="BG6" s="1692"/>
      <c r="BH6" s="1692"/>
      <c r="BI6" s="1692"/>
      <c r="BJ6" s="1692"/>
      <c r="BK6" s="1692"/>
      <c r="BL6" s="1692"/>
      <c r="BM6" s="1692"/>
      <c r="BN6" s="1692"/>
      <c r="BO6" s="1692"/>
      <c r="BP6" s="1692"/>
      <c r="BQ6" s="1692"/>
      <c r="BR6" s="1692"/>
      <c r="BS6" s="1692"/>
      <c r="BT6" s="1692"/>
      <c r="BU6" s="1692"/>
      <c r="BV6" s="1692"/>
      <c r="BW6" s="1692"/>
      <c r="BX6" s="1692"/>
      <c r="BY6" s="1692"/>
      <c r="BZ6" s="1692"/>
      <c r="CA6" s="1692"/>
      <c r="CB6" s="1692"/>
      <c r="CC6" s="1692"/>
      <c r="CD6" s="1692"/>
      <c r="CE6" s="1692"/>
      <c r="CF6" s="1692"/>
      <c r="CG6" s="1692"/>
      <c r="CH6" s="1692"/>
      <c r="CI6" s="1692"/>
      <c r="CJ6" s="1692"/>
      <c r="CK6" s="1692"/>
      <c r="CL6" s="1692"/>
      <c r="CM6" s="1692"/>
      <c r="CN6" s="1692"/>
      <c r="CO6" s="1692"/>
      <c r="CP6" s="1692"/>
      <c r="CQ6" s="1692"/>
      <c r="CR6" s="1692"/>
      <c r="CS6" s="1692"/>
      <c r="CT6" s="1692"/>
      <c r="CU6" s="1692"/>
      <c r="CV6" s="1692"/>
      <c r="CW6" s="1692"/>
      <c r="CX6" s="1692"/>
      <c r="CY6" s="1692"/>
      <c r="CZ6" s="1692"/>
      <c r="DA6" s="1692"/>
      <c r="DB6" s="1692"/>
      <c r="DC6" s="1692"/>
      <c r="DD6" s="1692"/>
      <c r="DE6" s="1692"/>
      <c r="DF6" s="1692"/>
      <c r="DG6" s="1692"/>
      <c r="DH6" s="1692"/>
      <c r="DI6" s="1692"/>
      <c r="DJ6" s="1692"/>
      <c r="DK6" s="1692"/>
      <c r="DL6" s="1692"/>
      <c r="DM6" s="1692"/>
      <c r="DN6" s="1692"/>
      <c r="DO6" s="1692"/>
      <c r="DP6" s="1692"/>
      <c r="DQ6" s="1692"/>
      <c r="DR6" s="1692"/>
      <c r="DS6" s="1692"/>
      <c r="DT6" s="1692"/>
      <c r="DU6" s="1692"/>
      <c r="DV6" s="1692"/>
      <c r="DW6" s="1692"/>
      <c r="DX6" s="1692"/>
      <c r="DY6" s="1692"/>
      <c r="DZ6" s="1692"/>
      <c r="EA6" s="1692"/>
      <c r="EB6" s="1692"/>
      <c r="EC6" s="1692"/>
      <c r="ED6" s="1692"/>
      <c r="EE6" s="1692"/>
      <c r="EF6" s="1692"/>
      <c r="EG6" s="1692"/>
      <c r="EH6" s="1692"/>
      <c r="EI6" s="1692"/>
      <c r="EJ6" s="1692"/>
      <c r="EK6" s="1692"/>
      <c r="EL6" s="1692"/>
      <c r="EM6" s="1692"/>
      <c r="EN6" s="1692"/>
      <c r="EO6" s="1692"/>
      <c r="EP6" s="1692"/>
      <c r="EQ6" s="1692"/>
      <c r="ER6" s="1692"/>
      <c r="ES6" s="1692"/>
      <c r="ET6" s="1692"/>
      <c r="EU6" s="1692"/>
      <c r="EV6" s="1692"/>
      <c r="EW6" s="1692"/>
      <c r="EX6" s="1692"/>
      <c r="EY6" s="1692"/>
      <c r="EZ6" s="1692"/>
      <c r="FA6" s="1692"/>
      <c r="FB6" s="1692"/>
      <c r="FC6" s="1692"/>
      <c r="FD6" s="1692"/>
      <c r="FE6" s="1692"/>
      <c r="FF6" s="1692"/>
      <c r="FG6" s="1692"/>
      <c r="FH6" s="1692"/>
      <c r="FI6" s="1692"/>
      <c r="FJ6" s="1692"/>
      <c r="FK6" s="1692"/>
      <c r="FL6" s="1692"/>
      <c r="FM6" s="1692"/>
      <c r="FN6" s="1692"/>
      <c r="FO6" s="1692"/>
      <c r="FP6" s="1692"/>
      <c r="FQ6" s="1692"/>
      <c r="FR6" s="1692"/>
      <c r="FS6" s="1692"/>
      <c r="FT6" s="1692"/>
      <c r="FU6" s="1692"/>
      <c r="FV6" s="1692"/>
      <c r="FW6" s="1692"/>
      <c r="FX6" s="1692"/>
      <c r="FY6" s="1692"/>
      <c r="FZ6" s="1692"/>
      <c r="GA6" s="1692"/>
      <c r="GB6" s="1692"/>
      <c r="GC6" s="1692"/>
      <c r="GD6" s="1692"/>
      <c r="GE6" s="1692"/>
      <c r="GF6" s="1692"/>
      <c r="GG6" s="1692"/>
      <c r="GH6" s="1692"/>
      <c r="GI6" s="1692"/>
      <c r="GJ6" s="1692"/>
      <c r="GK6" s="1692"/>
      <c r="GL6" s="1692"/>
      <c r="GM6" s="1692"/>
      <c r="GN6" s="1692"/>
      <c r="GO6" s="1692"/>
      <c r="GP6" s="1692"/>
      <c r="GQ6" s="1692"/>
      <c r="GR6" s="1692"/>
      <c r="GS6" s="1692"/>
      <c r="GT6" s="1692"/>
      <c r="GU6" s="1692"/>
      <c r="GV6" s="1692"/>
      <c r="GW6" s="1692"/>
      <c r="GX6" s="1692"/>
      <c r="GY6" s="1692"/>
      <c r="GZ6" s="1692"/>
      <c r="HA6" s="1692"/>
      <c r="HB6" s="1692"/>
      <c r="HC6" s="1692"/>
      <c r="HD6" s="1692"/>
      <c r="HE6" s="1692"/>
      <c r="HF6" s="1692"/>
      <c r="HG6" s="1692"/>
      <c r="HH6" s="1692"/>
      <c r="HI6" s="1692"/>
      <c r="HJ6" s="1692"/>
      <c r="HK6" s="1692"/>
      <c r="HL6" s="1692"/>
      <c r="HM6" s="1692"/>
      <c r="HN6" s="1692"/>
      <c r="HO6" s="1692"/>
      <c r="HP6" s="1692"/>
      <c r="HQ6" s="1692"/>
      <c r="HR6" s="1692"/>
      <c r="HS6" s="1693"/>
    </row>
    <row r="7" spans="1:227" ht="98.55" customHeight="1" thickBot="1" x14ac:dyDescent="0.3">
      <c r="A7" s="1703"/>
      <c r="B7" s="1391"/>
      <c r="C7" s="1391"/>
      <c r="D7" s="1703" t="s">
        <v>17</v>
      </c>
      <c r="E7" s="1773" t="s">
        <v>790</v>
      </c>
      <c r="F7" s="1773" t="s">
        <v>49</v>
      </c>
      <c r="G7" s="1773" t="s">
        <v>48</v>
      </c>
      <c r="H7" s="1703" t="s">
        <v>18</v>
      </c>
      <c r="I7" s="1773" t="s">
        <v>790</v>
      </c>
      <c r="J7" s="1773" t="s">
        <v>49</v>
      </c>
      <c r="K7" s="1773" t="s">
        <v>48</v>
      </c>
      <c r="L7" s="1694" t="s">
        <v>741</v>
      </c>
      <c r="M7" s="1701"/>
      <c r="N7" s="1701"/>
      <c r="O7" s="1701"/>
      <c r="P7" s="1701"/>
      <c r="Q7" s="1701"/>
      <c r="R7" s="1701"/>
      <c r="S7" s="1696"/>
      <c r="T7" s="1725" t="s">
        <v>503</v>
      </c>
      <c r="U7" s="1766"/>
      <c r="V7" s="1766"/>
      <c r="W7" s="1766"/>
      <c r="X7" s="1766"/>
      <c r="Y7" s="1766"/>
      <c r="Z7" s="1766"/>
      <c r="AA7" s="1766"/>
      <c r="AB7" s="1766"/>
      <c r="AC7" s="1766"/>
      <c r="AD7" s="1766"/>
      <c r="AE7" s="1766"/>
      <c r="AF7" s="1766"/>
      <c r="AG7" s="1766"/>
      <c r="AH7" s="1766"/>
      <c r="AI7" s="1726"/>
      <c r="AJ7" s="1694" t="s">
        <v>500</v>
      </c>
      <c r="AK7" s="1701"/>
      <c r="AL7" s="1701"/>
      <c r="AM7" s="1701"/>
      <c r="AN7" s="1701"/>
      <c r="AO7" s="1701"/>
      <c r="AP7" s="1701"/>
      <c r="AQ7" s="1696"/>
      <c r="AR7" s="1725" t="s">
        <v>613</v>
      </c>
      <c r="AS7" s="1766"/>
      <c r="AT7" s="1766"/>
      <c r="AU7" s="1766"/>
      <c r="AV7" s="1766"/>
      <c r="AW7" s="1766"/>
      <c r="AX7" s="1766"/>
      <c r="AY7" s="1766"/>
      <c r="AZ7" s="1766"/>
      <c r="BA7" s="1766"/>
      <c r="BB7" s="1766"/>
      <c r="BC7" s="1766"/>
      <c r="BD7" s="1766"/>
      <c r="BE7" s="1766"/>
      <c r="BF7" s="1766"/>
      <c r="BG7" s="1726"/>
      <c r="BH7" s="1694" t="s">
        <v>592</v>
      </c>
      <c r="BI7" s="1701"/>
      <c r="BJ7" s="1701"/>
      <c r="BK7" s="1701"/>
      <c r="BL7" s="1701"/>
      <c r="BM7" s="1701"/>
      <c r="BN7" s="1701"/>
      <c r="BO7" s="1696"/>
      <c r="BP7" s="1694" t="s">
        <v>597</v>
      </c>
      <c r="BQ7" s="1701"/>
      <c r="BR7" s="1701"/>
      <c r="BS7" s="1701"/>
      <c r="BT7" s="1701"/>
      <c r="BU7" s="1701"/>
      <c r="BV7" s="1701"/>
      <c r="BW7" s="1696"/>
      <c r="BX7" s="1694" t="s">
        <v>598</v>
      </c>
      <c r="BY7" s="1701"/>
      <c r="BZ7" s="1701"/>
      <c r="CA7" s="1701"/>
      <c r="CB7" s="1701"/>
      <c r="CC7" s="1701"/>
      <c r="CD7" s="1701"/>
      <c r="CE7" s="1696"/>
      <c r="CF7" s="1684" t="s">
        <v>487</v>
      </c>
      <c r="CG7" s="1685"/>
      <c r="CH7" s="1685"/>
      <c r="CI7" s="1685"/>
      <c r="CJ7" s="1685"/>
      <c r="CK7" s="1685"/>
      <c r="CL7" s="1685"/>
      <c r="CM7" s="1685"/>
      <c r="CN7" s="1685"/>
      <c r="CO7" s="1685"/>
      <c r="CP7" s="1685"/>
      <c r="CQ7" s="1685"/>
      <c r="CR7" s="1685"/>
      <c r="CS7" s="1685"/>
      <c r="CT7" s="1685"/>
      <c r="CU7" s="1685"/>
      <c r="CV7" s="1685"/>
      <c r="CW7" s="1685"/>
      <c r="CX7" s="1685"/>
      <c r="CY7" s="1685"/>
      <c r="CZ7" s="1685"/>
      <c r="DA7" s="1685"/>
      <c r="DB7" s="1685"/>
      <c r="DC7" s="1685"/>
      <c r="DD7" s="1685"/>
      <c r="DE7" s="1685"/>
      <c r="DF7" s="1685"/>
      <c r="DG7" s="1685"/>
      <c r="DH7" s="1685"/>
      <c r="DI7" s="1685"/>
      <c r="DJ7" s="1685"/>
      <c r="DK7" s="1686"/>
      <c r="DL7" s="1684" t="s">
        <v>473</v>
      </c>
      <c r="DM7" s="1685"/>
      <c r="DN7" s="1685"/>
      <c r="DO7" s="1685"/>
      <c r="DP7" s="1685"/>
      <c r="DQ7" s="1685"/>
      <c r="DR7" s="1685"/>
      <c r="DS7" s="1685"/>
      <c r="DT7" s="1685"/>
      <c r="DU7" s="1685"/>
      <c r="DV7" s="1685"/>
      <c r="DW7" s="1685"/>
      <c r="DX7" s="1685"/>
      <c r="DY7" s="1685"/>
      <c r="DZ7" s="1685"/>
      <c r="EA7" s="1686"/>
      <c r="EB7" s="1684" t="s">
        <v>480</v>
      </c>
      <c r="EC7" s="1685"/>
      <c r="ED7" s="1685"/>
      <c r="EE7" s="1685"/>
      <c r="EF7" s="1685"/>
      <c r="EG7" s="1685"/>
      <c r="EH7" s="1685"/>
      <c r="EI7" s="1685"/>
      <c r="EJ7" s="1685"/>
      <c r="EK7" s="1685"/>
      <c r="EL7" s="1685"/>
      <c r="EM7" s="1685"/>
      <c r="EN7" s="1685"/>
      <c r="EO7" s="1685"/>
      <c r="EP7" s="1685"/>
      <c r="EQ7" s="1685"/>
      <c r="ER7" s="1685"/>
      <c r="ES7" s="1685"/>
      <c r="ET7" s="1685"/>
      <c r="EU7" s="1685"/>
      <c r="EV7" s="1685"/>
      <c r="EW7" s="1685"/>
      <c r="EX7" s="1685"/>
      <c r="EY7" s="1686"/>
      <c r="EZ7" s="1684" t="s">
        <v>600</v>
      </c>
      <c r="FA7" s="1685"/>
      <c r="FB7" s="1685"/>
      <c r="FC7" s="1685"/>
      <c r="FD7" s="1685"/>
      <c r="FE7" s="1685"/>
      <c r="FF7" s="1685"/>
      <c r="FG7" s="1685"/>
      <c r="FH7" s="1685"/>
      <c r="FI7" s="1685"/>
      <c r="FJ7" s="1685"/>
      <c r="FK7" s="1685"/>
      <c r="FL7" s="1685"/>
      <c r="FM7" s="1685"/>
      <c r="FN7" s="1685"/>
      <c r="FO7" s="1685"/>
      <c r="FP7" s="1685"/>
      <c r="FQ7" s="1685"/>
      <c r="FR7" s="1685"/>
      <c r="FS7" s="1685"/>
      <c r="FT7" s="1685"/>
      <c r="FU7" s="1685"/>
      <c r="FV7" s="1685"/>
      <c r="FW7" s="1686"/>
      <c r="FX7" s="1727" t="s">
        <v>601</v>
      </c>
      <c r="FY7" s="1728"/>
      <c r="FZ7" s="1728"/>
      <c r="GA7" s="1728"/>
      <c r="GB7" s="1728"/>
      <c r="GC7" s="1728"/>
      <c r="GD7" s="1728"/>
      <c r="GE7" s="1767"/>
      <c r="GF7" s="1684" t="s">
        <v>711</v>
      </c>
      <c r="GG7" s="1685"/>
      <c r="GH7" s="1685"/>
      <c r="GI7" s="1685"/>
      <c r="GJ7" s="1685"/>
      <c r="GK7" s="1685"/>
      <c r="GL7" s="1685"/>
      <c r="GM7" s="1686"/>
      <c r="GN7" s="1727" t="s">
        <v>696</v>
      </c>
      <c r="GO7" s="1728"/>
      <c r="GP7" s="1728"/>
      <c r="GQ7" s="1728"/>
      <c r="GR7" s="1728"/>
      <c r="GS7" s="1728"/>
      <c r="GT7" s="1728"/>
      <c r="GU7" s="1728"/>
      <c r="GV7" s="1728"/>
      <c r="GW7" s="1728"/>
      <c r="GX7" s="1728"/>
      <c r="GY7" s="1728"/>
      <c r="GZ7" s="1728"/>
      <c r="HA7" s="1728"/>
      <c r="HB7" s="1728"/>
      <c r="HC7" s="1728"/>
      <c r="HD7" s="1728"/>
      <c r="HE7" s="1728"/>
      <c r="HF7" s="1728"/>
      <c r="HG7" s="1728"/>
      <c r="HH7" s="1728"/>
      <c r="HI7" s="1728"/>
      <c r="HJ7" s="1728"/>
      <c r="HK7" s="1728"/>
      <c r="HL7" s="1728"/>
      <c r="HM7" s="1728"/>
      <c r="HN7" s="1728"/>
      <c r="HO7" s="1728"/>
      <c r="HP7" s="1728"/>
      <c r="HQ7" s="1728"/>
      <c r="HR7" s="1728"/>
      <c r="HS7" s="1767"/>
    </row>
    <row r="8" spans="1:227" ht="177.6" customHeight="1" thickBot="1" x14ac:dyDescent="0.3">
      <c r="A8" s="1703"/>
      <c r="B8" s="1391"/>
      <c r="C8" s="1391"/>
      <c r="D8" s="1703"/>
      <c r="E8" s="1774"/>
      <c r="F8" s="1774"/>
      <c r="G8" s="1774"/>
      <c r="H8" s="1703"/>
      <c r="I8" s="1774"/>
      <c r="J8" s="1774"/>
      <c r="K8" s="1774"/>
      <c r="L8" s="1687"/>
      <c r="M8" s="1700"/>
      <c r="N8" s="1700"/>
      <c r="O8" s="1700"/>
      <c r="P8" s="1700"/>
      <c r="Q8" s="1700"/>
      <c r="R8" s="1700"/>
      <c r="S8" s="1688"/>
      <c r="T8" s="1684" t="s">
        <v>411</v>
      </c>
      <c r="U8" s="1685"/>
      <c r="V8" s="1685"/>
      <c r="W8" s="1685"/>
      <c r="X8" s="1685"/>
      <c r="Y8" s="1685"/>
      <c r="Z8" s="1685"/>
      <c r="AA8" s="1686"/>
      <c r="AB8" s="1684" t="s">
        <v>288</v>
      </c>
      <c r="AC8" s="1685"/>
      <c r="AD8" s="1685"/>
      <c r="AE8" s="1685"/>
      <c r="AF8" s="1685"/>
      <c r="AG8" s="1685"/>
      <c r="AH8" s="1685"/>
      <c r="AI8" s="1686"/>
      <c r="AJ8" s="1687"/>
      <c r="AK8" s="1700"/>
      <c r="AL8" s="1700"/>
      <c r="AM8" s="1700"/>
      <c r="AN8" s="1700"/>
      <c r="AO8" s="1700"/>
      <c r="AP8" s="1700"/>
      <c r="AQ8" s="1688"/>
      <c r="AR8" s="1684" t="s">
        <v>762</v>
      </c>
      <c r="AS8" s="1685"/>
      <c r="AT8" s="1685"/>
      <c r="AU8" s="1685"/>
      <c r="AV8" s="1685"/>
      <c r="AW8" s="1685"/>
      <c r="AX8" s="1685"/>
      <c r="AY8" s="1686"/>
      <c r="AZ8" s="1684" t="s">
        <v>764</v>
      </c>
      <c r="BA8" s="1685"/>
      <c r="BB8" s="1685"/>
      <c r="BC8" s="1685"/>
      <c r="BD8" s="1685"/>
      <c r="BE8" s="1685"/>
      <c r="BF8" s="1685"/>
      <c r="BG8" s="1686"/>
      <c r="BH8" s="1687"/>
      <c r="BI8" s="1700"/>
      <c r="BJ8" s="1700"/>
      <c r="BK8" s="1700"/>
      <c r="BL8" s="1700"/>
      <c r="BM8" s="1700"/>
      <c r="BN8" s="1700"/>
      <c r="BO8" s="1688"/>
      <c r="BP8" s="1687"/>
      <c r="BQ8" s="1700"/>
      <c r="BR8" s="1700"/>
      <c r="BS8" s="1700"/>
      <c r="BT8" s="1700"/>
      <c r="BU8" s="1700"/>
      <c r="BV8" s="1700"/>
      <c r="BW8" s="1688"/>
      <c r="BX8" s="1687"/>
      <c r="BY8" s="1700"/>
      <c r="BZ8" s="1700"/>
      <c r="CA8" s="1700"/>
      <c r="CB8" s="1700"/>
      <c r="CC8" s="1700"/>
      <c r="CD8" s="1700"/>
      <c r="CE8" s="1688"/>
      <c r="CF8" s="1684" t="s">
        <v>286</v>
      </c>
      <c r="CG8" s="1685"/>
      <c r="CH8" s="1685"/>
      <c r="CI8" s="1685"/>
      <c r="CJ8" s="1685"/>
      <c r="CK8" s="1685"/>
      <c r="CL8" s="1685"/>
      <c r="CM8" s="1686"/>
      <c r="CN8" s="1684" t="s">
        <v>285</v>
      </c>
      <c r="CO8" s="1685"/>
      <c r="CP8" s="1685"/>
      <c r="CQ8" s="1685"/>
      <c r="CR8" s="1685"/>
      <c r="CS8" s="1685"/>
      <c r="CT8" s="1685"/>
      <c r="CU8" s="1686"/>
      <c r="CV8" s="1768" t="s">
        <v>368</v>
      </c>
      <c r="CW8" s="1769"/>
      <c r="CX8" s="1769"/>
      <c r="CY8" s="1769"/>
      <c r="CZ8" s="1769"/>
      <c r="DA8" s="1769"/>
      <c r="DB8" s="1769"/>
      <c r="DC8" s="1770"/>
      <c r="DD8" s="1684" t="s">
        <v>407</v>
      </c>
      <c r="DE8" s="1685"/>
      <c r="DF8" s="1685"/>
      <c r="DG8" s="1685"/>
      <c r="DH8" s="1685"/>
      <c r="DI8" s="1685"/>
      <c r="DJ8" s="1685"/>
      <c r="DK8" s="1686"/>
      <c r="DL8" s="1684" t="s">
        <v>727</v>
      </c>
      <c r="DM8" s="1685"/>
      <c r="DN8" s="1685"/>
      <c r="DO8" s="1685"/>
      <c r="DP8" s="1685"/>
      <c r="DQ8" s="1685"/>
      <c r="DR8" s="1685"/>
      <c r="DS8" s="1686"/>
      <c r="DT8" s="1684" t="s">
        <v>728</v>
      </c>
      <c r="DU8" s="1685"/>
      <c r="DV8" s="1685"/>
      <c r="DW8" s="1685"/>
      <c r="DX8" s="1685"/>
      <c r="DY8" s="1685"/>
      <c r="DZ8" s="1685"/>
      <c r="EA8" s="1686"/>
      <c r="EB8" s="1684" t="s">
        <v>751</v>
      </c>
      <c r="EC8" s="1685"/>
      <c r="ED8" s="1685"/>
      <c r="EE8" s="1685"/>
      <c r="EF8" s="1685"/>
      <c r="EG8" s="1685"/>
      <c r="EH8" s="1685"/>
      <c r="EI8" s="1686"/>
      <c r="EJ8" s="1684" t="s">
        <v>309</v>
      </c>
      <c r="EK8" s="1685"/>
      <c r="EL8" s="1685"/>
      <c r="EM8" s="1685"/>
      <c r="EN8" s="1685"/>
      <c r="EO8" s="1685"/>
      <c r="EP8" s="1685"/>
      <c r="EQ8" s="1686"/>
      <c r="ER8" s="1684" t="s">
        <v>391</v>
      </c>
      <c r="ES8" s="1685"/>
      <c r="ET8" s="1685"/>
      <c r="EU8" s="1685"/>
      <c r="EV8" s="1685"/>
      <c r="EW8" s="1685"/>
      <c r="EX8" s="1685"/>
      <c r="EY8" s="1686"/>
      <c r="EZ8" s="1684" t="s">
        <v>284</v>
      </c>
      <c r="FA8" s="1685"/>
      <c r="FB8" s="1685"/>
      <c r="FC8" s="1685"/>
      <c r="FD8" s="1685"/>
      <c r="FE8" s="1685"/>
      <c r="FF8" s="1685"/>
      <c r="FG8" s="1686"/>
      <c r="FH8" s="1684" t="s">
        <v>299</v>
      </c>
      <c r="FI8" s="1685"/>
      <c r="FJ8" s="1685"/>
      <c r="FK8" s="1685"/>
      <c r="FL8" s="1685"/>
      <c r="FM8" s="1701"/>
      <c r="FN8" s="1701"/>
      <c r="FO8" s="1696"/>
      <c r="FP8" s="1684" t="s">
        <v>774</v>
      </c>
      <c r="FQ8" s="1685"/>
      <c r="FR8" s="1685"/>
      <c r="FS8" s="1685"/>
      <c r="FT8" s="1685"/>
      <c r="FU8" s="1685"/>
      <c r="FV8" s="1685"/>
      <c r="FW8" s="1686"/>
      <c r="FX8" s="1684" t="s">
        <v>311</v>
      </c>
      <c r="FY8" s="1685"/>
      <c r="FZ8" s="1685"/>
      <c r="GA8" s="1685"/>
      <c r="GB8" s="1685"/>
      <c r="GC8" s="1685"/>
      <c r="GD8" s="1685"/>
      <c r="GE8" s="1686"/>
      <c r="GF8" s="1768" t="s">
        <v>287</v>
      </c>
      <c r="GG8" s="1769"/>
      <c r="GH8" s="1769"/>
      <c r="GI8" s="1769"/>
      <c r="GJ8" s="1769"/>
      <c r="GK8" s="1769"/>
      <c r="GL8" s="1769"/>
      <c r="GM8" s="1770"/>
      <c r="GN8" s="1684" t="s">
        <v>352</v>
      </c>
      <c r="GO8" s="1685"/>
      <c r="GP8" s="1685"/>
      <c r="GQ8" s="1685"/>
      <c r="GR8" s="1685"/>
      <c r="GS8" s="1685"/>
      <c r="GT8" s="1685"/>
      <c r="GU8" s="1686"/>
      <c r="GV8" s="1684" t="s">
        <v>310</v>
      </c>
      <c r="GW8" s="1685"/>
      <c r="GX8" s="1685"/>
      <c r="GY8" s="1685"/>
      <c r="GZ8" s="1685"/>
      <c r="HA8" s="1685"/>
      <c r="HB8" s="1685"/>
      <c r="HC8" s="1686"/>
      <c r="HD8" s="1684" t="s">
        <v>304</v>
      </c>
      <c r="HE8" s="1685"/>
      <c r="HF8" s="1685"/>
      <c r="HG8" s="1685"/>
      <c r="HH8" s="1685"/>
      <c r="HI8" s="1685"/>
      <c r="HJ8" s="1685"/>
      <c r="HK8" s="1686"/>
      <c r="HL8" s="1684" t="s">
        <v>322</v>
      </c>
      <c r="HM8" s="1685"/>
      <c r="HN8" s="1685"/>
      <c r="HO8" s="1685"/>
      <c r="HP8" s="1685"/>
      <c r="HQ8" s="1685"/>
      <c r="HR8" s="1685"/>
      <c r="HS8" s="1686"/>
    </row>
    <row r="9" spans="1:227" ht="21" customHeight="1" thickBot="1" x14ac:dyDescent="0.35">
      <c r="A9" s="1423"/>
      <c r="B9" s="1423"/>
      <c r="C9" s="1423"/>
      <c r="D9" s="1704"/>
      <c r="E9" s="1775"/>
      <c r="F9" s="1775"/>
      <c r="G9" s="1775"/>
      <c r="H9" s="1704"/>
      <c r="I9" s="1775"/>
      <c r="J9" s="1775"/>
      <c r="K9" s="1775"/>
      <c r="L9" s="93" t="s">
        <v>171</v>
      </c>
      <c r="M9" s="1394" t="s">
        <v>790</v>
      </c>
      <c r="N9" s="1393" t="s">
        <v>49</v>
      </c>
      <c r="O9" s="1430" t="s">
        <v>48</v>
      </c>
      <c r="P9" s="93" t="s">
        <v>172</v>
      </c>
      <c r="Q9" s="1394" t="s">
        <v>790</v>
      </c>
      <c r="R9" s="1393" t="s">
        <v>49</v>
      </c>
      <c r="S9" s="1430" t="s">
        <v>48</v>
      </c>
      <c r="T9" s="93" t="s">
        <v>171</v>
      </c>
      <c r="U9" s="1417" t="s">
        <v>790</v>
      </c>
      <c r="V9" s="1394" t="s">
        <v>49</v>
      </c>
      <c r="W9" s="1394" t="s">
        <v>48</v>
      </c>
      <c r="X9" s="91" t="s">
        <v>172</v>
      </c>
      <c r="Y9" s="1417" t="s">
        <v>790</v>
      </c>
      <c r="Z9" s="1394" t="s">
        <v>49</v>
      </c>
      <c r="AA9" s="1393" t="s">
        <v>48</v>
      </c>
      <c r="AB9" s="95" t="s">
        <v>171</v>
      </c>
      <c r="AC9" s="1417" t="s">
        <v>790</v>
      </c>
      <c r="AD9" s="1434" t="s">
        <v>49</v>
      </c>
      <c r="AE9" s="1434" t="s">
        <v>48</v>
      </c>
      <c r="AF9" s="1447" t="s">
        <v>172</v>
      </c>
      <c r="AG9" s="1417" t="s">
        <v>790</v>
      </c>
      <c r="AH9" s="1394" t="s">
        <v>49</v>
      </c>
      <c r="AI9" s="1394" t="s">
        <v>48</v>
      </c>
      <c r="AJ9" s="93" t="s">
        <v>171</v>
      </c>
      <c r="AK9" s="1417" t="s">
        <v>790</v>
      </c>
      <c r="AL9" s="1434" t="s">
        <v>49</v>
      </c>
      <c r="AM9" s="1434" t="s">
        <v>48</v>
      </c>
      <c r="AN9" s="92" t="s">
        <v>172</v>
      </c>
      <c r="AO9" s="1417" t="s">
        <v>790</v>
      </c>
      <c r="AP9" s="1394" t="s">
        <v>49</v>
      </c>
      <c r="AQ9" s="1394" t="s">
        <v>48</v>
      </c>
      <c r="AR9" s="93" t="s">
        <v>171</v>
      </c>
      <c r="AS9" s="1417" t="s">
        <v>790</v>
      </c>
      <c r="AT9" s="1434" t="s">
        <v>49</v>
      </c>
      <c r="AU9" s="1434" t="s">
        <v>48</v>
      </c>
      <c r="AV9" s="92" t="s">
        <v>172</v>
      </c>
      <c r="AW9" s="1417" t="s">
        <v>790</v>
      </c>
      <c r="AX9" s="1394" t="s">
        <v>49</v>
      </c>
      <c r="AY9" s="1394" t="s">
        <v>48</v>
      </c>
      <c r="AZ9" s="91" t="s">
        <v>171</v>
      </c>
      <c r="BA9" s="1393" t="s">
        <v>790</v>
      </c>
      <c r="BB9" s="1394" t="s">
        <v>49</v>
      </c>
      <c r="BC9" s="1394" t="s">
        <v>48</v>
      </c>
      <c r="BD9" s="91" t="s">
        <v>172</v>
      </c>
      <c r="BE9" s="1393" t="s">
        <v>790</v>
      </c>
      <c r="BF9" s="1394" t="s">
        <v>49</v>
      </c>
      <c r="BG9" s="1394" t="s">
        <v>48</v>
      </c>
      <c r="BH9" s="93" t="s">
        <v>171</v>
      </c>
      <c r="BI9" s="1393" t="s">
        <v>790</v>
      </c>
      <c r="BJ9" s="1394" t="s">
        <v>49</v>
      </c>
      <c r="BK9" s="1394" t="s">
        <v>48</v>
      </c>
      <c r="BL9" s="91" t="s">
        <v>172</v>
      </c>
      <c r="BM9" s="1393" t="s">
        <v>790</v>
      </c>
      <c r="BN9" s="1394" t="s">
        <v>49</v>
      </c>
      <c r="BO9" s="1394" t="s">
        <v>48</v>
      </c>
      <c r="BP9" s="91" t="s">
        <v>171</v>
      </c>
      <c r="BQ9" s="1393" t="s">
        <v>790</v>
      </c>
      <c r="BR9" s="1394" t="s">
        <v>49</v>
      </c>
      <c r="BS9" s="1394" t="s">
        <v>48</v>
      </c>
      <c r="BT9" s="91" t="s">
        <v>172</v>
      </c>
      <c r="BU9" s="1393" t="s">
        <v>790</v>
      </c>
      <c r="BV9" s="1394" t="s">
        <v>49</v>
      </c>
      <c r="BW9" s="1393" t="s">
        <v>48</v>
      </c>
      <c r="BX9" s="95" t="s">
        <v>171</v>
      </c>
      <c r="BY9" s="1394" t="s">
        <v>790</v>
      </c>
      <c r="BZ9" s="1393" t="s">
        <v>49</v>
      </c>
      <c r="CA9" s="1430" t="s">
        <v>48</v>
      </c>
      <c r="CB9" s="91" t="s">
        <v>172</v>
      </c>
      <c r="CC9" s="1394" t="s">
        <v>790</v>
      </c>
      <c r="CD9" s="1393" t="s">
        <v>49</v>
      </c>
      <c r="CE9" s="1440" t="s">
        <v>48</v>
      </c>
      <c r="CF9" s="95" t="s">
        <v>171</v>
      </c>
      <c r="CG9" s="1393" t="s">
        <v>790</v>
      </c>
      <c r="CH9" s="1394" t="s">
        <v>49</v>
      </c>
      <c r="CI9" s="1394" t="s">
        <v>48</v>
      </c>
      <c r="CJ9" s="91" t="s">
        <v>172</v>
      </c>
      <c r="CK9" s="1394" t="s">
        <v>790</v>
      </c>
      <c r="CL9" s="1393" t="s">
        <v>49</v>
      </c>
      <c r="CM9" s="1430" t="s">
        <v>48</v>
      </c>
      <c r="CN9" s="91" t="s">
        <v>171</v>
      </c>
      <c r="CO9" s="1394" t="s">
        <v>790</v>
      </c>
      <c r="CP9" s="1393" t="s">
        <v>49</v>
      </c>
      <c r="CQ9" s="1430" t="s">
        <v>48</v>
      </c>
      <c r="CR9" s="91" t="s">
        <v>172</v>
      </c>
      <c r="CS9" s="1394" t="s">
        <v>790</v>
      </c>
      <c r="CT9" s="1393" t="s">
        <v>49</v>
      </c>
      <c r="CU9" s="1430" t="s">
        <v>48</v>
      </c>
      <c r="CV9" s="93" t="s">
        <v>171</v>
      </c>
      <c r="CW9" s="1393" t="s">
        <v>790</v>
      </c>
      <c r="CX9" s="1394" t="s">
        <v>49</v>
      </c>
      <c r="CY9" s="1394" t="s">
        <v>48</v>
      </c>
      <c r="CZ9" s="91" t="s">
        <v>172</v>
      </c>
      <c r="DA9" s="1393" t="s">
        <v>790</v>
      </c>
      <c r="DB9" s="1394" t="s">
        <v>49</v>
      </c>
      <c r="DC9" s="1394" t="s">
        <v>48</v>
      </c>
      <c r="DD9" s="93" t="s">
        <v>171</v>
      </c>
      <c r="DE9" s="1393" t="s">
        <v>790</v>
      </c>
      <c r="DF9" s="1394" t="s">
        <v>49</v>
      </c>
      <c r="DG9" s="1394" t="s">
        <v>48</v>
      </c>
      <c r="DH9" s="91" t="s">
        <v>172</v>
      </c>
      <c r="DI9" s="1393" t="s">
        <v>790</v>
      </c>
      <c r="DJ9" s="1394" t="s">
        <v>49</v>
      </c>
      <c r="DK9" s="1394" t="s">
        <v>48</v>
      </c>
      <c r="DL9" s="93" t="s">
        <v>171</v>
      </c>
      <c r="DM9" s="1393" t="s">
        <v>790</v>
      </c>
      <c r="DN9" s="1394" t="s">
        <v>49</v>
      </c>
      <c r="DO9" s="1394" t="s">
        <v>48</v>
      </c>
      <c r="DP9" s="91" t="s">
        <v>172</v>
      </c>
      <c r="DQ9" s="1393" t="s">
        <v>790</v>
      </c>
      <c r="DR9" s="1394" t="s">
        <v>49</v>
      </c>
      <c r="DS9" s="1394" t="s">
        <v>48</v>
      </c>
      <c r="DT9" s="91" t="s">
        <v>171</v>
      </c>
      <c r="DU9" s="1393" t="s">
        <v>790</v>
      </c>
      <c r="DV9" s="1394" t="s">
        <v>49</v>
      </c>
      <c r="DW9" s="1394" t="s">
        <v>48</v>
      </c>
      <c r="DX9" s="91" t="s">
        <v>172</v>
      </c>
      <c r="DY9" s="1393" t="s">
        <v>790</v>
      </c>
      <c r="DZ9" s="1394" t="s">
        <v>49</v>
      </c>
      <c r="EA9" s="1394" t="s">
        <v>48</v>
      </c>
      <c r="EB9" s="93" t="s">
        <v>171</v>
      </c>
      <c r="EC9" s="1393" t="s">
        <v>790</v>
      </c>
      <c r="ED9" s="1394" t="s">
        <v>49</v>
      </c>
      <c r="EE9" s="1394" t="s">
        <v>48</v>
      </c>
      <c r="EF9" s="91" t="s">
        <v>172</v>
      </c>
      <c r="EG9" s="1393" t="s">
        <v>790</v>
      </c>
      <c r="EH9" s="1394" t="s">
        <v>49</v>
      </c>
      <c r="EI9" s="1394" t="s">
        <v>48</v>
      </c>
      <c r="EJ9" s="93" t="s">
        <v>171</v>
      </c>
      <c r="EK9" s="1393" t="s">
        <v>790</v>
      </c>
      <c r="EL9" s="1394" t="s">
        <v>49</v>
      </c>
      <c r="EM9" s="1394" t="s">
        <v>48</v>
      </c>
      <c r="EN9" s="91" t="s">
        <v>172</v>
      </c>
      <c r="EO9" s="1393" t="s">
        <v>790</v>
      </c>
      <c r="EP9" s="1394" t="s">
        <v>49</v>
      </c>
      <c r="EQ9" s="1394" t="s">
        <v>48</v>
      </c>
      <c r="ER9" s="93" t="s">
        <v>171</v>
      </c>
      <c r="ES9" s="1393" t="s">
        <v>790</v>
      </c>
      <c r="ET9" s="1394" t="s">
        <v>49</v>
      </c>
      <c r="EU9" s="1394" t="s">
        <v>48</v>
      </c>
      <c r="EV9" s="91" t="s">
        <v>172</v>
      </c>
      <c r="EW9" s="1393" t="s">
        <v>790</v>
      </c>
      <c r="EX9" s="1394" t="s">
        <v>49</v>
      </c>
      <c r="EY9" s="1393" t="s">
        <v>48</v>
      </c>
      <c r="EZ9" s="95" t="s">
        <v>171</v>
      </c>
      <c r="FA9" s="1393" t="s">
        <v>790</v>
      </c>
      <c r="FB9" s="1394" t="s">
        <v>49</v>
      </c>
      <c r="FC9" s="1394" t="s">
        <v>48</v>
      </c>
      <c r="FD9" s="91" t="s">
        <v>172</v>
      </c>
      <c r="FE9" s="1393" t="s">
        <v>790</v>
      </c>
      <c r="FF9" s="1394" t="s">
        <v>49</v>
      </c>
      <c r="FG9" s="1417" t="s">
        <v>48</v>
      </c>
      <c r="FH9" s="95" t="s">
        <v>171</v>
      </c>
      <c r="FI9" s="1393" t="s">
        <v>790</v>
      </c>
      <c r="FJ9" s="1394" t="s">
        <v>49</v>
      </c>
      <c r="FK9" s="1394" t="s">
        <v>48</v>
      </c>
      <c r="FL9" s="93" t="s">
        <v>172</v>
      </c>
      <c r="FM9" s="1417" t="s">
        <v>790</v>
      </c>
      <c r="FN9" s="1434" t="s">
        <v>49</v>
      </c>
      <c r="FO9" s="1417" t="s">
        <v>48</v>
      </c>
      <c r="FP9" s="95" t="s">
        <v>171</v>
      </c>
      <c r="FQ9" s="1393" t="s">
        <v>790</v>
      </c>
      <c r="FR9" s="1394" t="s">
        <v>49</v>
      </c>
      <c r="FS9" s="1394" t="s">
        <v>48</v>
      </c>
      <c r="FT9" s="91" t="s">
        <v>172</v>
      </c>
      <c r="FU9" s="1393" t="s">
        <v>790</v>
      </c>
      <c r="FV9" s="1394" t="s">
        <v>49</v>
      </c>
      <c r="FW9" s="1417" t="s">
        <v>48</v>
      </c>
      <c r="FX9" s="95" t="s">
        <v>171</v>
      </c>
      <c r="FY9" s="1393" t="s">
        <v>790</v>
      </c>
      <c r="FZ9" s="1394" t="s">
        <v>49</v>
      </c>
      <c r="GA9" s="1394" t="s">
        <v>48</v>
      </c>
      <c r="GB9" s="91" t="s">
        <v>172</v>
      </c>
      <c r="GC9" s="1393" t="s">
        <v>790</v>
      </c>
      <c r="GD9" s="1394" t="s">
        <v>49</v>
      </c>
      <c r="GE9" s="1394" t="s">
        <v>48</v>
      </c>
      <c r="GF9" s="93" t="s">
        <v>171</v>
      </c>
      <c r="GG9" s="1393" t="s">
        <v>790</v>
      </c>
      <c r="GH9" s="1394" t="s">
        <v>49</v>
      </c>
      <c r="GI9" s="1394" t="s">
        <v>48</v>
      </c>
      <c r="GJ9" s="93" t="s">
        <v>172</v>
      </c>
      <c r="GK9" s="1393" t="s">
        <v>790</v>
      </c>
      <c r="GL9" s="1394" t="s">
        <v>49</v>
      </c>
      <c r="GM9" s="1394" t="s">
        <v>48</v>
      </c>
      <c r="GN9" s="91" t="s">
        <v>171</v>
      </c>
      <c r="GO9" s="1393" t="s">
        <v>790</v>
      </c>
      <c r="GP9" s="1394" t="s">
        <v>49</v>
      </c>
      <c r="GQ9" s="1394" t="s">
        <v>48</v>
      </c>
      <c r="GR9" s="91" t="s">
        <v>172</v>
      </c>
      <c r="GS9" s="1393" t="s">
        <v>790</v>
      </c>
      <c r="GT9" s="1394" t="s">
        <v>49</v>
      </c>
      <c r="GU9" s="1394" t="s">
        <v>48</v>
      </c>
      <c r="GV9" s="93" t="s">
        <v>171</v>
      </c>
      <c r="GW9" s="1393" t="s">
        <v>790</v>
      </c>
      <c r="GX9" s="1394" t="s">
        <v>49</v>
      </c>
      <c r="GY9" s="1394" t="s">
        <v>48</v>
      </c>
      <c r="GZ9" s="91" t="s">
        <v>172</v>
      </c>
      <c r="HA9" s="1393" t="s">
        <v>790</v>
      </c>
      <c r="HB9" s="1394" t="s">
        <v>49</v>
      </c>
      <c r="HC9" s="1394" t="s">
        <v>48</v>
      </c>
      <c r="HD9" s="93" t="s">
        <v>171</v>
      </c>
      <c r="HE9" s="1393" t="s">
        <v>790</v>
      </c>
      <c r="HF9" s="1394" t="s">
        <v>49</v>
      </c>
      <c r="HG9" s="1394" t="s">
        <v>48</v>
      </c>
      <c r="HH9" s="91" t="s">
        <v>172</v>
      </c>
      <c r="HI9" s="1393" t="s">
        <v>790</v>
      </c>
      <c r="HJ9" s="1394" t="s">
        <v>49</v>
      </c>
      <c r="HK9" s="1394" t="s">
        <v>48</v>
      </c>
      <c r="HL9" s="91" t="s">
        <v>171</v>
      </c>
      <c r="HM9" s="1393" t="s">
        <v>790</v>
      </c>
      <c r="HN9" s="1394" t="s">
        <v>49</v>
      </c>
      <c r="HO9" s="1394" t="s">
        <v>48</v>
      </c>
      <c r="HP9" s="91" t="s">
        <v>172</v>
      </c>
      <c r="HQ9" s="1393" t="s">
        <v>790</v>
      </c>
      <c r="HR9" s="1394" t="s">
        <v>49</v>
      </c>
      <c r="HS9" s="1393" t="s">
        <v>48</v>
      </c>
    </row>
    <row r="10" spans="1:227" ht="25.5" customHeight="1" x14ac:dyDescent="0.3">
      <c r="A10" s="96" t="s">
        <v>88</v>
      </c>
      <c r="B10" s="1445">
        <f>D10-E10-F10-G10</f>
        <v>0</v>
      </c>
      <c r="C10" s="1445">
        <f>H10-I10-J10-K10</f>
        <v>0</v>
      </c>
      <c r="D10" s="269">
        <f>AB10+AJ10+CF10+CN10+BX10+GF10+EZ10+FH10+L10+DL10+HD10+EJ10+ER10+FX10+GV10+HL10+GN10+BP10+CV10+AR10+DD10+T10+AZ10+BH10+DT10+EB10+FP10</f>
        <v>976930.62</v>
      </c>
      <c r="E10" s="1395">
        <f t="shared" ref="E10:G25" si="0">AC10+AK10+CG10+CO10+BY10+GG10+FA10+FI10+M10+DM10+HE10+EK10+ES10+FY10+GW10+HM10+GO10+BQ10+CW10+AS10+DE10+U10+BA10+BI10+DU10+EC10+FQ10</f>
        <v>6204.71</v>
      </c>
      <c r="F10" s="1395">
        <f t="shared" si="0"/>
        <v>970725.91</v>
      </c>
      <c r="G10" s="1395">
        <f t="shared" si="0"/>
        <v>0</v>
      </c>
      <c r="H10" s="269">
        <f t="shared" ref="H10:H27" si="1">AF10+AN10+CJ10+CR10+CB10+GJ10+FD10+FL10+P10+DP10+HH10+EN10+EV10+GB10+GZ10+HP10+GR10+BT10+CZ10+AV10+DH10+X10+BD10+BL10+DX10+EF10+FT10</f>
        <v>976930.62</v>
      </c>
      <c r="I10" s="1395">
        <f t="shared" ref="I10:I27" si="2">AG10+AO10+CK10+CS10+CC10+GK10+FE10+FM10+Q10+DQ10+HI10+EO10+EW10+GC10+HA10+HQ10+GS10+BU10+DA10+AW10+DI10+Y10+BE10+BM10+DY10+EG10+FU10</f>
        <v>6204.71</v>
      </c>
      <c r="J10" s="1395">
        <f t="shared" ref="J10:J27" si="3">AH10+AP10+CL10+CT10+CD10+GL10+FF10+FN10+R10+DR10+HJ10+EP10+EX10+GD10+HB10+HR10+GT10+BV10+DB10+AX10+DJ10+Z10+BF10+BN10+DZ10+EH10+FV10</f>
        <v>970725.91</v>
      </c>
      <c r="K10" s="1395">
        <f t="shared" ref="K10:K27" si="4">AI10+AQ10+CM10+CU10+CE10+GM10+FG10+FO10+S10+DS10+HK10+EQ10+EY10+GE10+HC10+HS10+GU10+BW10+DC10+AY10+DK10+AA10+BG10+BO10+EA10+EI10+FW10</f>
        <v>0</v>
      </c>
      <c r="L10" s="99">
        <f>'Проверочная  таблица'!DE12+'Проверочная  таблица'!DG12</f>
        <v>0</v>
      </c>
      <c r="M10" s="1427">
        <f>'Проверочная  таблица'!DE12</f>
        <v>0</v>
      </c>
      <c r="N10" s="1395"/>
      <c r="O10" s="1424">
        <f>'Проверочная  таблица'!DG12</f>
        <v>0</v>
      </c>
      <c r="P10" s="99">
        <f>'Проверочная  таблица'!DF12+'Проверочная  таблица'!DH12</f>
        <v>0</v>
      </c>
      <c r="Q10" s="1427">
        <f>'Проверочная  таблица'!DF12</f>
        <v>0</v>
      </c>
      <c r="R10" s="1395"/>
      <c r="S10" s="1424">
        <f>'Проверочная  таблица'!DH12</f>
        <v>0</v>
      </c>
      <c r="T10" s="99">
        <f>'Проверочная  таблица'!DX12</f>
        <v>0</v>
      </c>
      <c r="U10" s="1420">
        <f t="shared" ref="U10:U27" si="5">T10</f>
        <v>0</v>
      </c>
      <c r="V10" s="1395"/>
      <c r="W10" s="1396"/>
      <c r="X10" s="97">
        <f>'Проверочная  таблица'!EF12</f>
        <v>0</v>
      </c>
      <c r="Y10" s="1420">
        <f t="shared" ref="Y10:Y27" si="6">X10</f>
        <v>0</v>
      </c>
      <c r="Z10" s="1395"/>
      <c r="AA10" s="1395"/>
      <c r="AB10" s="99">
        <f>'Проверочная  таблица'!DZ12</f>
        <v>0</v>
      </c>
      <c r="AC10" s="1420">
        <f t="shared" ref="AC10:AC27" si="7">AB10</f>
        <v>0</v>
      </c>
      <c r="AD10" s="1420"/>
      <c r="AE10" s="1446"/>
      <c r="AF10" s="662">
        <f>'Проверочная  таблица'!EH12</f>
        <v>0</v>
      </c>
      <c r="AG10" s="1420">
        <f t="shared" ref="AG10:AG27" si="8">AF10</f>
        <v>0</v>
      </c>
      <c r="AH10" s="1395"/>
      <c r="AI10" s="1396"/>
      <c r="AJ10" s="98">
        <f>'Проверочная  таблица'!EU12</f>
        <v>0</v>
      </c>
      <c r="AK10" s="1420">
        <f t="shared" ref="AK10:AK27" si="9">AJ10</f>
        <v>0</v>
      </c>
      <c r="AL10" s="1420"/>
      <c r="AM10" s="1446"/>
      <c r="AN10" s="269">
        <f>'Проверочная  таблица'!EX12</f>
        <v>0</v>
      </c>
      <c r="AO10" s="1420">
        <f t="shared" ref="AO10:AO27" si="10">AN10</f>
        <v>0</v>
      </c>
      <c r="AP10" s="1395"/>
      <c r="AQ10" s="1396"/>
      <c r="AR10" s="98">
        <f>'Проверочная  таблица'!FG12</f>
        <v>0</v>
      </c>
      <c r="AS10" s="1420">
        <f t="shared" ref="AS10:AS27" si="11">AR10</f>
        <v>0</v>
      </c>
      <c r="AT10" s="1420"/>
      <c r="AU10" s="1446"/>
      <c r="AV10" s="662">
        <f>'Проверочная  таблица'!FL12</f>
        <v>0</v>
      </c>
      <c r="AW10" s="1420">
        <f t="shared" ref="AW10:AW27" si="12">AV10</f>
        <v>0</v>
      </c>
      <c r="AX10" s="1395"/>
      <c r="AY10" s="1396"/>
      <c r="AZ10" s="97">
        <f>'Проверочная  таблица'!FI12</f>
        <v>0</v>
      </c>
      <c r="BA10" s="1395"/>
      <c r="BB10" s="1395"/>
      <c r="BC10" s="1396"/>
      <c r="BD10" s="97">
        <f>'Проверочная  таблица'!FN12</f>
        <v>0</v>
      </c>
      <c r="BE10" s="1395"/>
      <c r="BF10" s="1395"/>
      <c r="BG10" s="1396"/>
      <c r="BH10" s="98">
        <f>'Проверочная  таблица'!FQ12</f>
        <v>0</v>
      </c>
      <c r="BI10" s="1395">
        <f>BH10</f>
        <v>0</v>
      </c>
      <c r="BJ10" s="1424"/>
      <c r="BK10" s="1396"/>
      <c r="BL10" s="97">
        <f>'Проверочная  таблица'!FT12</f>
        <v>0</v>
      </c>
      <c r="BM10" s="1395">
        <f>BL10</f>
        <v>0</v>
      </c>
      <c r="BN10" s="1395"/>
      <c r="BO10" s="1396"/>
      <c r="BP10" s="97">
        <f>'Проверочная  таблица'!FW12</f>
        <v>0</v>
      </c>
      <c r="BQ10" s="1395"/>
      <c r="BR10" s="1395"/>
      <c r="BS10" s="1396"/>
      <c r="BT10" s="97">
        <f>'Проверочная  таблица'!FZ12</f>
        <v>0</v>
      </c>
      <c r="BU10" s="1395"/>
      <c r="BV10" s="1395"/>
      <c r="BW10" s="1395"/>
      <c r="BX10" s="99">
        <f>'Проверочная  таблица'!GC12+'Проверочная  таблица'!GI12</f>
        <v>970725.91</v>
      </c>
      <c r="BY10" s="1427">
        <f>'Проверочная  таблица'!GC12</f>
        <v>0</v>
      </c>
      <c r="BZ10" s="1395">
        <f>'Проверочная  таблица'!GO12</f>
        <v>970725.91</v>
      </c>
      <c r="CA10" s="1424">
        <f>'Проверочная  таблица'!GU12</f>
        <v>0</v>
      </c>
      <c r="CB10" s="99">
        <f>'Проверочная  таблица'!GF12+'Проверочная  таблица'!GL12</f>
        <v>970725.91</v>
      </c>
      <c r="CC10" s="1427">
        <f>'Проверочная  таблица'!GF12</f>
        <v>0</v>
      </c>
      <c r="CD10" s="1395">
        <f>'Проверочная  таблица'!GR12</f>
        <v>970725.91</v>
      </c>
      <c r="CE10" s="1424">
        <f>'Проверочная  таблица'!GX12</f>
        <v>0</v>
      </c>
      <c r="CF10" s="99">
        <f>'Проверочная  таблица'!HI12+'Проверочная  таблица'!IA12</f>
        <v>6204.71</v>
      </c>
      <c r="CG10" s="1427">
        <f>'Проверочная  таблица'!HI12</f>
        <v>6204.71</v>
      </c>
      <c r="CH10" s="1395"/>
      <c r="CI10" s="1424">
        <f>'Проверочная  таблица'!JK12</f>
        <v>0</v>
      </c>
      <c r="CJ10" s="99">
        <f>'Проверочная  таблица'!IJ12+'Проверочная  таблица'!HR12</f>
        <v>6204.71</v>
      </c>
      <c r="CK10" s="1427">
        <f>'Проверочная  таблица'!HR12</f>
        <v>6204.71</v>
      </c>
      <c r="CL10" s="1395"/>
      <c r="CM10" s="1424">
        <f>'Проверочная  таблица'!JT12</f>
        <v>0</v>
      </c>
      <c r="CN10" s="99">
        <f>'Проверочная  таблица'!HK12+'Проверочная  таблица'!IC12</f>
        <v>0</v>
      </c>
      <c r="CO10" s="1427">
        <f>'Проверочная  таблица'!HK12</f>
        <v>0</v>
      </c>
      <c r="CP10" s="1395">
        <f>'Проверочная  таблица'!IU12</f>
        <v>0</v>
      </c>
      <c r="CQ10" s="1424">
        <f>'Проверочная  таблица'!JM12</f>
        <v>0</v>
      </c>
      <c r="CR10" s="99">
        <f>'Проверочная  таблица'!IL12+'Проверочная  таблица'!HT12</f>
        <v>0</v>
      </c>
      <c r="CS10" s="1427">
        <f>'Проверочная  таблица'!HT12</f>
        <v>0</v>
      </c>
      <c r="CT10" s="1395">
        <f>'Проверочная  таблица'!JD12</f>
        <v>0</v>
      </c>
      <c r="CU10" s="1424">
        <f>'Проверочная  таблица'!JV12</f>
        <v>0</v>
      </c>
      <c r="CV10" s="99">
        <f>'Проверочная  таблица'!HM12+'Проверочная  таблица'!IE12</f>
        <v>0</v>
      </c>
      <c r="CW10" s="1395"/>
      <c r="CX10" s="1395"/>
      <c r="CY10" s="1396"/>
      <c r="CZ10" s="98">
        <f>'Проверочная  таблица'!HV12+'Проверочная  таблица'!IN12</f>
        <v>0</v>
      </c>
      <c r="DA10" s="1395"/>
      <c r="DB10" s="1395"/>
      <c r="DC10" s="1396"/>
      <c r="DD10" s="98">
        <f>'Проверочная  таблица'!HG12+'Проверочная  таблица'!HY12</f>
        <v>0</v>
      </c>
      <c r="DE10" s="1427"/>
      <c r="DF10" s="1395">
        <f>DD10</f>
        <v>0</v>
      </c>
      <c r="DG10" s="1396"/>
      <c r="DH10" s="97">
        <f>'Проверочная  таблица'!IH12+'Проверочная  таблица'!HP12</f>
        <v>0</v>
      </c>
      <c r="DI10" s="1395"/>
      <c r="DJ10" s="1395">
        <f>DH10</f>
        <v>0</v>
      </c>
      <c r="DK10" s="1396"/>
      <c r="DL10" s="98">
        <f>'Проверочная  таблица'!KA12</f>
        <v>0</v>
      </c>
      <c r="DM10" s="1442">
        <f>DL10</f>
        <v>0</v>
      </c>
      <c r="DN10" s="1424"/>
      <c r="DO10" s="1396"/>
      <c r="DP10" s="98">
        <f>'Проверочная  таблица'!KF12</f>
        <v>0</v>
      </c>
      <c r="DQ10" s="1442">
        <f>DP10</f>
        <v>0</v>
      </c>
      <c r="DR10" s="1395"/>
      <c r="DS10" s="1396"/>
      <c r="DT10" s="97">
        <f>'Проверочная  таблица'!KC12</f>
        <v>0</v>
      </c>
      <c r="DU10" s="1395"/>
      <c r="DV10" s="1395"/>
      <c r="DW10" s="1396"/>
      <c r="DX10" s="98">
        <f>'Проверочная  таблица'!KH12</f>
        <v>0</v>
      </c>
      <c r="DY10" s="1395"/>
      <c r="DZ10" s="1395"/>
      <c r="EA10" s="1396"/>
      <c r="EB10" s="98">
        <f>'Проверочная  таблица'!KL12</f>
        <v>0</v>
      </c>
      <c r="EC10" s="1395"/>
      <c r="ED10" s="1395"/>
      <c r="EE10" s="1396"/>
      <c r="EF10" s="97">
        <f>'Проверочная  таблица'!KR12</f>
        <v>0</v>
      </c>
      <c r="EG10" s="1395"/>
      <c r="EH10" s="1395"/>
      <c r="EI10" s="1396"/>
      <c r="EJ10" s="97">
        <f>'Проверочная  таблица'!KN12</f>
        <v>0</v>
      </c>
      <c r="EK10" s="1395"/>
      <c r="EL10" s="1395"/>
      <c r="EM10" s="1396"/>
      <c r="EN10" s="97">
        <f>'Проверочная  таблица'!KT12</f>
        <v>0</v>
      </c>
      <c r="EO10" s="1395"/>
      <c r="EP10" s="1395"/>
      <c r="EQ10" s="1396"/>
      <c r="ER10" s="98">
        <f>'Проверочная  таблица'!KX12</f>
        <v>0</v>
      </c>
      <c r="ES10" s="1395"/>
      <c r="ET10" s="1395"/>
      <c r="EU10" s="1396"/>
      <c r="EV10" s="97">
        <f>'Проверочная  таблица'!LB12</f>
        <v>0</v>
      </c>
      <c r="EW10" s="1395"/>
      <c r="EX10" s="1395"/>
      <c r="EY10" s="1395"/>
      <c r="EZ10" s="99">
        <f>'Проверочная  таблица'!LI12+'Проверочная  таблица'!LW12</f>
        <v>0</v>
      </c>
      <c r="FA10" s="1427">
        <f>'Проверочная  таблица'!LI12</f>
        <v>0</v>
      </c>
      <c r="FB10" s="1395"/>
      <c r="FC10" s="1424">
        <f>'Проверочная  таблица'!LW12</f>
        <v>0</v>
      </c>
      <c r="FD10" s="99">
        <f>'Проверочная  таблица'!LP12+'Проверочная  таблица'!MB12</f>
        <v>0</v>
      </c>
      <c r="FE10" s="1427">
        <f>'Проверочная  таблица'!LP12</f>
        <v>0</v>
      </c>
      <c r="FF10" s="1395"/>
      <c r="FG10" s="1424">
        <f>'Проверочная  таблица'!MB12</f>
        <v>0</v>
      </c>
      <c r="FH10" s="99">
        <f>'Проверочная  таблица'!LK12+'Проверочная  таблица'!LY12</f>
        <v>0</v>
      </c>
      <c r="FI10" s="1427">
        <f>'Проверочная  таблица'!LK12</f>
        <v>0</v>
      </c>
      <c r="FJ10" s="1395"/>
      <c r="FK10" s="1424">
        <f>'Проверочная  таблица'!LY12</f>
        <v>0</v>
      </c>
      <c r="FL10" s="99">
        <f>'Проверочная  таблица'!LR12+'Проверочная  таблица'!MD12</f>
        <v>0</v>
      </c>
      <c r="FM10" s="1432">
        <f>'Проверочная  таблица'!LR12</f>
        <v>0</v>
      </c>
      <c r="FN10" s="1420"/>
      <c r="FO10" s="1433">
        <f>'Проверочная  таблица'!MD12</f>
        <v>0</v>
      </c>
      <c r="FP10" s="99">
        <f>'Проверочная  таблица'!LM12</f>
        <v>0</v>
      </c>
      <c r="FQ10" s="1395"/>
      <c r="FR10" s="1395"/>
      <c r="FS10" s="1396"/>
      <c r="FT10" s="97">
        <f>'Проверочная  таблица'!LT12</f>
        <v>0</v>
      </c>
      <c r="FU10" s="1395"/>
      <c r="FV10" s="1395"/>
      <c r="FW10" s="1395"/>
      <c r="FX10" s="99">
        <f>'Проверочная  таблица'!NE12</f>
        <v>0</v>
      </c>
      <c r="FY10" s="1427"/>
      <c r="FZ10" s="1395">
        <f>FX10</f>
        <v>0</v>
      </c>
      <c r="GA10" s="1396"/>
      <c r="GB10" s="97">
        <f>'Проверочная  таблица'!NH12</f>
        <v>0</v>
      </c>
      <c r="GC10" s="1395"/>
      <c r="GD10" s="1395">
        <f>GB10</f>
        <v>0</v>
      </c>
      <c r="GE10" s="1396"/>
      <c r="GF10" s="98">
        <f>'Проверочная  таблица'!NW12</f>
        <v>0</v>
      </c>
      <c r="GG10" s="1395"/>
      <c r="GH10" s="1395"/>
      <c r="GI10" s="1396"/>
      <c r="GJ10" s="98">
        <f>'Проверочная  таблица'!NZ12</f>
        <v>0</v>
      </c>
      <c r="GK10" s="1395"/>
      <c r="GL10" s="1395"/>
      <c r="GM10" s="1396"/>
      <c r="GN10" s="97">
        <f>'Проверочная  таблица'!OW12+'Проверочная  таблица'!PM12</f>
        <v>0</v>
      </c>
      <c r="GO10" s="1395"/>
      <c r="GP10" s="1395">
        <f>GN10</f>
        <v>0</v>
      </c>
      <c r="GQ10" s="1396"/>
      <c r="GR10" s="97">
        <f>'Проверочная  таблица'!PD12+'Проверочная  таблица'!PV12</f>
        <v>0</v>
      </c>
      <c r="GS10" s="1395"/>
      <c r="GT10" s="1395">
        <f>GR10</f>
        <v>0</v>
      </c>
      <c r="GU10" s="1396"/>
      <c r="GV10" s="98">
        <f>'Проверочная  таблица'!PI12</f>
        <v>0</v>
      </c>
      <c r="GW10" s="1427"/>
      <c r="GX10" s="1395">
        <f>GV10</f>
        <v>0</v>
      </c>
      <c r="GY10" s="1396"/>
      <c r="GZ10" s="98">
        <f>'Проверочная  таблица'!PR12</f>
        <v>0</v>
      </c>
      <c r="HA10" s="1395"/>
      <c r="HB10" s="1395">
        <f>GZ10</f>
        <v>0</v>
      </c>
      <c r="HC10" s="1396"/>
      <c r="HD10" s="98">
        <f>'Проверочная  таблица'!OU12+'Проверочная  таблица'!PK12</f>
        <v>0</v>
      </c>
      <c r="HE10" s="1427">
        <f>'Проверочная  таблица'!OU12</f>
        <v>0</v>
      </c>
      <c r="HF10" s="1395">
        <f>'Проверочная  таблица'!PK12</f>
        <v>0</v>
      </c>
      <c r="HG10" s="1396"/>
      <c r="HH10" s="98">
        <f>'Проверочная  таблица'!PB12+'Проверочная  таблица'!PT12</f>
        <v>0</v>
      </c>
      <c r="HI10" s="1427">
        <f>'Проверочная  таблица'!PB12</f>
        <v>0</v>
      </c>
      <c r="HJ10" s="1395">
        <f>'Проверочная  таблица'!PT12</f>
        <v>0</v>
      </c>
      <c r="HK10" s="1396"/>
      <c r="HL10" s="98">
        <f>'Проверочная  таблица'!OY12+'Проверочная  таблица'!PO12</f>
        <v>0</v>
      </c>
      <c r="HM10" s="1395">
        <f>HL10</f>
        <v>0</v>
      </c>
      <c r="HN10" s="1424"/>
      <c r="HO10" s="1396"/>
      <c r="HP10" s="98">
        <f>'Проверочная  таблица'!PF12+'Проверочная  таблица'!PX12</f>
        <v>0</v>
      </c>
      <c r="HQ10" s="1395">
        <f>HP10</f>
        <v>0</v>
      </c>
      <c r="HR10" s="1395"/>
      <c r="HS10" s="1395"/>
    </row>
    <row r="11" spans="1:227" ht="25.5" customHeight="1" x14ac:dyDescent="0.3">
      <c r="A11" s="102" t="s">
        <v>89</v>
      </c>
      <c r="B11" s="1445">
        <f t="shared" ref="B11:B35" si="13">D11-E11-F11-G11</f>
        <v>0</v>
      </c>
      <c r="C11" s="1445">
        <f t="shared" ref="C11:C35" si="14">H11-I11-J11-K11</f>
        <v>0</v>
      </c>
      <c r="D11" s="269">
        <f t="shared" ref="D11:D27" si="15">AB11+AJ11+CF11+CN11+BX11+GF11+EZ11+FH11+L11+DL11+HD11+EJ11+ER11+FX11+GV11+HL11+GN11+BP11+CV11+AR11+DD11+T11+AZ11+BH11+DT11+EB11+FP11</f>
        <v>60130168.590000004</v>
      </c>
      <c r="E11" s="1420">
        <f t="shared" si="0"/>
        <v>12291507.27</v>
      </c>
      <c r="F11" s="1420">
        <f t="shared" si="0"/>
        <v>16259597.26</v>
      </c>
      <c r="G11" s="1420">
        <f t="shared" si="0"/>
        <v>31579064.060000002</v>
      </c>
      <c r="H11" s="269">
        <f t="shared" si="1"/>
        <v>43077648.050000004</v>
      </c>
      <c r="I11" s="1420">
        <f t="shared" si="2"/>
        <v>10308124.439999999</v>
      </c>
      <c r="J11" s="1420">
        <f t="shared" si="3"/>
        <v>2381493.06</v>
      </c>
      <c r="K11" s="1420">
        <f t="shared" si="4"/>
        <v>30388030.550000001</v>
      </c>
      <c r="L11" s="104">
        <f>'Проверочная  таблица'!DE13+'Проверочная  таблица'!DG13</f>
        <v>28186117.34</v>
      </c>
      <c r="M11" s="1428">
        <f>'Проверочная  таблица'!DE13</f>
        <v>12278353.279999999</v>
      </c>
      <c r="N11" s="1397"/>
      <c r="O11" s="1425">
        <f>'Проверочная  таблица'!DG13</f>
        <v>15907764.060000001</v>
      </c>
      <c r="P11" s="104">
        <f>'Проверочная  таблица'!DF13+'Проверочная  таблица'!DH13</f>
        <v>25854013.75</v>
      </c>
      <c r="Q11" s="1428">
        <f>'Проверочная  таблица'!DF13</f>
        <v>10294970.449999999</v>
      </c>
      <c r="R11" s="1397"/>
      <c r="S11" s="1425">
        <f>'Проверочная  таблица'!DH13</f>
        <v>15559043.300000001</v>
      </c>
      <c r="T11" s="104">
        <f>'Проверочная  таблица'!DX13</f>
        <v>0</v>
      </c>
      <c r="U11" s="1397">
        <f t="shared" si="5"/>
        <v>0</v>
      </c>
      <c r="V11" s="1397"/>
      <c r="W11" s="1398"/>
      <c r="X11" s="101">
        <f>'Проверочная  таблица'!EF13</f>
        <v>0</v>
      </c>
      <c r="Y11" s="1397">
        <f t="shared" si="6"/>
        <v>0</v>
      </c>
      <c r="Z11" s="1397"/>
      <c r="AA11" s="1397"/>
      <c r="AB11" s="104">
        <f>'Проверочная  таблица'!DZ13</f>
        <v>0</v>
      </c>
      <c r="AC11" s="1397">
        <f t="shared" si="7"/>
        <v>0</v>
      </c>
      <c r="AD11" s="1397"/>
      <c r="AE11" s="1398"/>
      <c r="AF11" s="103">
        <f>'Проверочная  таблица'!EH13</f>
        <v>0</v>
      </c>
      <c r="AG11" s="1397">
        <f t="shared" si="8"/>
        <v>0</v>
      </c>
      <c r="AH11" s="1397"/>
      <c r="AI11" s="1398"/>
      <c r="AJ11" s="103">
        <f>'Проверочная  таблица'!EU13</f>
        <v>0</v>
      </c>
      <c r="AK11" s="1397">
        <f t="shared" si="9"/>
        <v>0</v>
      </c>
      <c r="AL11" s="1397"/>
      <c r="AM11" s="1398"/>
      <c r="AN11" s="101">
        <f>'Проверочная  таблица'!EX13</f>
        <v>0</v>
      </c>
      <c r="AO11" s="1397">
        <f t="shared" si="10"/>
        <v>0</v>
      </c>
      <c r="AP11" s="1397"/>
      <c r="AQ11" s="1398"/>
      <c r="AR11" s="103">
        <f>'Проверочная  таблица'!FG13</f>
        <v>0</v>
      </c>
      <c r="AS11" s="1397">
        <f t="shared" si="11"/>
        <v>0</v>
      </c>
      <c r="AT11" s="1397"/>
      <c r="AU11" s="1398"/>
      <c r="AV11" s="103">
        <f>'Проверочная  таблица'!FL13</f>
        <v>0</v>
      </c>
      <c r="AW11" s="1397">
        <f t="shared" si="12"/>
        <v>0</v>
      </c>
      <c r="AX11" s="1397"/>
      <c r="AY11" s="1398"/>
      <c r="AZ11" s="101">
        <f>'Проверочная  таблица'!FI13</f>
        <v>0</v>
      </c>
      <c r="BA11" s="1397"/>
      <c r="BB11" s="1397"/>
      <c r="BC11" s="1398"/>
      <c r="BD11" s="101">
        <f>'Проверочная  таблица'!FN13</f>
        <v>0</v>
      </c>
      <c r="BE11" s="1397"/>
      <c r="BF11" s="1397"/>
      <c r="BG11" s="1398"/>
      <c r="BH11" s="103">
        <f>'Проверочная  таблица'!FQ13</f>
        <v>0</v>
      </c>
      <c r="BI11" s="1397">
        <f t="shared" ref="BI11:BI27" si="16">BH11</f>
        <v>0</v>
      </c>
      <c r="BJ11" s="1425"/>
      <c r="BK11" s="1398"/>
      <c r="BL11" s="101">
        <f>'Проверочная  таблица'!FT13</f>
        <v>0</v>
      </c>
      <c r="BM11" s="1397">
        <f t="shared" ref="BM11:BM27" si="17">BL11</f>
        <v>0</v>
      </c>
      <c r="BN11" s="1397"/>
      <c r="BO11" s="1398"/>
      <c r="BP11" s="101">
        <f>'Проверочная  таблица'!FW13</f>
        <v>0</v>
      </c>
      <c r="BQ11" s="1397"/>
      <c r="BR11" s="1397"/>
      <c r="BS11" s="1398"/>
      <c r="BT11" s="101">
        <f>'Проверочная  таблица'!FZ13</f>
        <v>0</v>
      </c>
      <c r="BU11" s="1397"/>
      <c r="BV11" s="1397"/>
      <c r="BW11" s="1397"/>
      <c r="BX11" s="104">
        <f>'Проверочная  таблица'!GC13+'Проверочная  таблица'!GI13</f>
        <v>1439997.26</v>
      </c>
      <c r="BY11" s="1428">
        <f>'Проверочная  таблица'!GC13</f>
        <v>0</v>
      </c>
      <c r="BZ11" s="1397">
        <f>'Проверочная  таблица'!GO13</f>
        <v>1439997.26</v>
      </c>
      <c r="CA11" s="1425">
        <f>'Проверочная  таблица'!GU13</f>
        <v>0</v>
      </c>
      <c r="CB11" s="104">
        <f>'Проверочная  таблица'!GF13+'Проверочная  таблица'!GL13</f>
        <v>833330.32</v>
      </c>
      <c r="CC11" s="1428">
        <f>'Проверочная  таблица'!GF13</f>
        <v>0</v>
      </c>
      <c r="CD11" s="1397">
        <f>'Проверочная  таблица'!GR13</f>
        <v>833330.32</v>
      </c>
      <c r="CE11" s="1425">
        <f>'Проверочная  таблица'!GX13</f>
        <v>0</v>
      </c>
      <c r="CF11" s="104">
        <f>'Проверочная  таблица'!HI13+'Проверочная  таблица'!IA13</f>
        <v>13153.99</v>
      </c>
      <c r="CG11" s="1428">
        <f>'Проверочная  таблица'!HI13</f>
        <v>13153.99</v>
      </c>
      <c r="CH11" s="1397"/>
      <c r="CI11" s="1425">
        <f>'Проверочная  таблица'!JK13</f>
        <v>0</v>
      </c>
      <c r="CJ11" s="104">
        <f>'Проверочная  таблица'!IJ13+'Проверочная  таблица'!HR13</f>
        <v>13153.99</v>
      </c>
      <c r="CK11" s="1428">
        <f>'Проверочная  таблица'!HR13</f>
        <v>13153.99</v>
      </c>
      <c r="CL11" s="1397"/>
      <c r="CM11" s="1425">
        <f>'Проверочная  таблица'!JT13</f>
        <v>0</v>
      </c>
      <c r="CN11" s="104">
        <f>'Проверочная  таблица'!HK13+'Проверочная  таблица'!IC13</f>
        <v>0</v>
      </c>
      <c r="CO11" s="1428">
        <f>'Проверочная  таблица'!HK13</f>
        <v>0</v>
      </c>
      <c r="CP11" s="1397">
        <f>'Проверочная  таблица'!IU13</f>
        <v>0</v>
      </c>
      <c r="CQ11" s="1425">
        <f>'Проверочная  таблица'!JM13</f>
        <v>0</v>
      </c>
      <c r="CR11" s="104">
        <f>'Проверочная  таблица'!IL13+'Проверочная  таблица'!HT13</f>
        <v>0</v>
      </c>
      <c r="CS11" s="1428">
        <f>'Проверочная  таблица'!HT13</f>
        <v>0</v>
      </c>
      <c r="CT11" s="1397">
        <f>'Проверочная  таблица'!JD13</f>
        <v>0</v>
      </c>
      <c r="CU11" s="1425">
        <f>'Проверочная  таблица'!JV13</f>
        <v>0</v>
      </c>
      <c r="CV11" s="104">
        <f>'Проверочная  таблица'!HM13+'Проверочная  таблица'!IE13</f>
        <v>0</v>
      </c>
      <c r="CW11" s="1397"/>
      <c r="CX11" s="1397"/>
      <c r="CY11" s="1398"/>
      <c r="CZ11" s="103">
        <f>'Проверочная  таблица'!HV13+'Проверочная  таблица'!IN13</f>
        <v>0</v>
      </c>
      <c r="DA11" s="1397"/>
      <c r="DB11" s="1397"/>
      <c r="DC11" s="1398"/>
      <c r="DD11" s="103">
        <f>'Проверочная  таблица'!HG13+'Проверочная  таблица'!HY13</f>
        <v>14819600</v>
      </c>
      <c r="DE11" s="1428"/>
      <c r="DF11" s="1397">
        <f t="shared" ref="DF11:DF27" si="18">DD11</f>
        <v>14819600</v>
      </c>
      <c r="DG11" s="1398"/>
      <c r="DH11" s="101">
        <f>'Проверочная  таблица'!IH13+'Проверочная  таблица'!HP13</f>
        <v>1548162.7400000002</v>
      </c>
      <c r="DI11" s="1397"/>
      <c r="DJ11" s="1397">
        <f t="shared" ref="DJ11:DJ27" si="19">DH11</f>
        <v>1548162.7400000002</v>
      </c>
      <c r="DK11" s="1398"/>
      <c r="DL11" s="103">
        <f>'Проверочная  таблица'!KA13</f>
        <v>0</v>
      </c>
      <c r="DM11" s="1443">
        <f t="shared" ref="DM11:DM27" si="20">DL11</f>
        <v>0</v>
      </c>
      <c r="DN11" s="1425"/>
      <c r="DO11" s="1398"/>
      <c r="DP11" s="103">
        <f>'Проверочная  таблица'!KF13</f>
        <v>0</v>
      </c>
      <c r="DQ11" s="1443">
        <f t="shared" ref="DQ11:DQ27" si="21">DP11</f>
        <v>0</v>
      </c>
      <c r="DR11" s="1397"/>
      <c r="DS11" s="1398"/>
      <c r="DT11" s="101">
        <f>'Проверочная  таблица'!KC13</f>
        <v>0</v>
      </c>
      <c r="DU11" s="1397"/>
      <c r="DV11" s="1397"/>
      <c r="DW11" s="1398"/>
      <c r="DX11" s="103">
        <f>'Проверочная  таблица'!KH13</f>
        <v>0</v>
      </c>
      <c r="DY11" s="1397"/>
      <c r="DZ11" s="1397"/>
      <c r="EA11" s="1398"/>
      <c r="EB11" s="103">
        <f>'Проверочная  таблица'!KL13</f>
        <v>0</v>
      </c>
      <c r="EC11" s="1397"/>
      <c r="ED11" s="1397"/>
      <c r="EE11" s="1398"/>
      <c r="EF11" s="101">
        <f>'Проверочная  таблица'!KR13</f>
        <v>0</v>
      </c>
      <c r="EG11" s="1397"/>
      <c r="EH11" s="1397"/>
      <c r="EI11" s="1398"/>
      <c r="EJ11" s="101">
        <f>'Проверочная  таблица'!KN13</f>
        <v>0</v>
      </c>
      <c r="EK11" s="1397"/>
      <c r="EL11" s="1397"/>
      <c r="EM11" s="1398"/>
      <c r="EN11" s="101">
        <f>'Проверочная  таблица'!KT13</f>
        <v>0</v>
      </c>
      <c r="EO11" s="1397"/>
      <c r="EP11" s="1397"/>
      <c r="EQ11" s="1398"/>
      <c r="ER11" s="103">
        <f>'Проверочная  таблица'!KX13</f>
        <v>0</v>
      </c>
      <c r="ES11" s="1397"/>
      <c r="ET11" s="1397"/>
      <c r="EU11" s="1398"/>
      <c r="EV11" s="101">
        <f>'Проверочная  таблица'!LB13</f>
        <v>0</v>
      </c>
      <c r="EW11" s="1397"/>
      <c r="EX11" s="1397"/>
      <c r="EY11" s="1397"/>
      <c r="EZ11" s="104">
        <f>'Проверочная  таблица'!LI13+'Проверочная  таблица'!LW13</f>
        <v>8071300</v>
      </c>
      <c r="FA11" s="1428">
        <f>'Проверочная  таблица'!LI13</f>
        <v>0</v>
      </c>
      <c r="FB11" s="1397"/>
      <c r="FC11" s="1425">
        <f>'Проверочная  таблица'!LW13</f>
        <v>8071300</v>
      </c>
      <c r="FD11" s="104">
        <f>'Проверочная  таблица'!LP13+'Проверочная  таблица'!MB13</f>
        <v>7228987.25</v>
      </c>
      <c r="FE11" s="1428">
        <f>'Проверочная  таблица'!LP13</f>
        <v>0</v>
      </c>
      <c r="FF11" s="1397"/>
      <c r="FG11" s="1425">
        <f>'Проверочная  таблица'!MB13</f>
        <v>7228987.25</v>
      </c>
      <c r="FH11" s="104">
        <f>'Проверочная  таблица'!LK13+'Проверочная  таблица'!LY13</f>
        <v>7600000</v>
      </c>
      <c r="FI11" s="1428">
        <f>'Проверочная  таблица'!LK13</f>
        <v>0</v>
      </c>
      <c r="FJ11" s="1397"/>
      <c r="FK11" s="1425">
        <f>'Проверочная  таблица'!LY13</f>
        <v>7600000</v>
      </c>
      <c r="FL11" s="104">
        <f>'Проверочная  таблица'!LR13+'Проверочная  таблица'!MD13</f>
        <v>7600000</v>
      </c>
      <c r="FM11" s="1428">
        <f>'Проверочная  таблица'!LR13</f>
        <v>0</v>
      </c>
      <c r="FN11" s="1397"/>
      <c r="FO11" s="1425">
        <f>'Проверочная  таблица'!MD13</f>
        <v>7600000</v>
      </c>
      <c r="FP11" s="104">
        <f>'Проверочная  таблица'!LM13</f>
        <v>0</v>
      </c>
      <c r="FQ11" s="1397"/>
      <c r="FR11" s="1397"/>
      <c r="FS11" s="1398"/>
      <c r="FT11" s="101">
        <f>'Проверочная  таблица'!LT13</f>
        <v>0</v>
      </c>
      <c r="FU11" s="1397"/>
      <c r="FV11" s="1397"/>
      <c r="FW11" s="1397"/>
      <c r="FX11" s="104">
        <f>'Проверочная  таблица'!NE13</f>
        <v>0</v>
      </c>
      <c r="FY11" s="1428"/>
      <c r="FZ11" s="1397">
        <f t="shared" ref="FZ11:FZ27" si="22">FX11</f>
        <v>0</v>
      </c>
      <c r="GA11" s="1398"/>
      <c r="GB11" s="101">
        <f>'Проверочная  таблица'!NH13</f>
        <v>0</v>
      </c>
      <c r="GC11" s="1397"/>
      <c r="GD11" s="1397">
        <f t="shared" ref="GD11:GD27" si="23">GB11</f>
        <v>0</v>
      </c>
      <c r="GE11" s="1398"/>
      <c r="GF11" s="103">
        <f>'Проверочная  таблица'!NW13</f>
        <v>0</v>
      </c>
      <c r="GG11" s="1397"/>
      <c r="GH11" s="1397"/>
      <c r="GI11" s="1398"/>
      <c r="GJ11" s="103">
        <f>'Проверочная  таблица'!NZ13</f>
        <v>0</v>
      </c>
      <c r="GK11" s="1397"/>
      <c r="GL11" s="1397"/>
      <c r="GM11" s="1398"/>
      <c r="GN11" s="101">
        <f>'Проверочная  таблица'!OW13+'Проверочная  таблица'!PM13</f>
        <v>0</v>
      </c>
      <c r="GO11" s="1397"/>
      <c r="GP11" s="1397">
        <f t="shared" ref="GP11:GP27" si="24">GN11</f>
        <v>0</v>
      </c>
      <c r="GQ11" s="1398"/>
      <c r="GR11" s="101">
        <f>'Проверочная  таблица'!PD13+'Проверочная  таблица'!PV13</f>
        <v>0</v>
      </c>
      <c r="GS11" s="1397"/>
      <c r="GT11" s="1397">
        <f t="shared" ref="GT11:GT27" si="25">GR11</f>
        <v>0</v>
      </c>
      <c r="GU11" s="1398"/>
      <c r="GV11" s="103">
        <f>'Проверочная  таблица'!PI13</f>
        <v>0</v>
      </c>
      <c r="GW11" s="1428"/>
      <c r="GX11" s="1397">
        <f t="shared" ref="GX11:GX27" si="26">GV11</f>
        <v>0</v>
      </c>
      <c r="GY11" s="1398"/>
      <c r="GZ11" s="103">
        <f>'Проверочная  таблица'!PR13</f>
        <v>0</v>
      </c>
      <c r="HA11" s="1397"/>
      <c r="HB11" s="1397">
        <f t="shared" ref="HB11:HB27" si="27">GZ11</f>
        <v>0</v>
      </c>
      <c r="HC11" s="1398"/>
      <c r="HD11" s="103">
        <f>'Проверочная  таблица'!OU13+'Проверочная  таблица'!PK13</f>
        <v>0</v>
      </c>
      <c r="HE11" s="1428">
        <f>'Проверочная  таблица'!OU13</f>
        <v>0</v>
      </c>
      <c r="HF11" s="1397">
        <f>'Проверочная  таблица'!PK13</f>
        <v>0</v>
      </c>
      <c r="HG11" s="1398"/>
      <c r="HH11" s="103">
        <f>'Проверочная  таблица'!PB13+'Проверочная  таблица'!PT13</f>
        <v>0</v>
      </c>
      <c r="HI11" s="1428">
        <f>'Проверочная  таблица'!PB13</f>
        <v>0</v>
      </c>
      <c r="HJ11" s="1397">
        <f>'Проверочная  таблица'!PT13</f>
        <v>0</v>
      </c>
      <c r="HK11" s="1398"/>
      <c r="HL11" s="103">
        <f>'Проверочная  таблица'!OY13+'Проверочная  таблица'!PO13</f>
        <v>0</v>
      </c>
      <c r="HM11" s="1397">
        <f t="shared" ref="HM11:HM27" si="28">HL11</f>
        <v>0</v>
      </c>
      <c r="HN11" s="1425"/>
      <c r="HO11" s="1398"/>
      <c r="HP11" s="103">
        <f>'Проверочная  таблица'!PF13+'Проверочная  таблица'!PX13</f>
        <v>0</v>
      </c>
      <c r="HQ11" s="1397">
        <f t="shared" ref="HQ11:HQ27" si="29">HP11</f>
        <v>0</v>
      </c>
      <c r="HR11" s="1397"/>
      <c r="HS11" s="1397"/>
    </row>
    <row r="12" spans="1:227" ht="25.5" customHeight="1" x14ac:dyDescent="0.3">
      <c r="A12" s="105" t="s">
        <v>90</v>
      </c>
      <c r="B12" s="1445">
        <f t="shared" si="13"/>
        <v>0</v>
      </c>
      <c r="C12" s="1445">
        <f t="shared" si="14"/>
        <v>0</v>
      </c>
      <c r="D12" s="269">
        <f t="shared" si="15"/>
        <v>45876657.840000004</v>
      </c>
      <c r="E12" s="1420">
        <f t="shared" si="0"/>
        <v>2980230.9</v>
      </c>
      <c r="F12" s="1420">
        <f t="shared" si="0"/>
        <v>2882510.26</v>
      </c>
      <c r="G12" s="1420">
        <f t="shared" si="0"/>
        <v>40013916.68</v>
      </c>
      <c r="H12" s="269">
        <f t="shared" si="1"/>
        <v>12128495.189999999</v>
      </c>
      <c r="I12" s="1420">
        <f t="shared" si="2"/>
        <v>258990.9</v>
      </c>
      <c r="J12" s="1420">
        <f t="shared" si="3"/>
        <v>1416510.26</v>
      </c>
      <c r="K12" s="1420">
        <f t="shared" si="4"/>
        <v>10452994.030000001</v>
      </c>
      <c r="L12" s="104">
        <f>'Проверочная  таблица'!DE14+'Проверочная  таблица'!DG14</f>
        <v>34765603.780000001</v>
      </c>
      <c r="M12" s="1428">
        <f>'Проверочная  таблица'!DE14</f>
        <v>0</v>
      </c>
      <c r="N12" s="1397"/>
      <c r="O12" s="1425">
        <f>'Проверочная  таблица'!DG14</f>
        <v>34765603.780000001</v>
      </c>
      <c r="P12" s="104">
        <f>'Проверочная  таблица'!DF14+'Проверочная  таблица'!DH14</f>
        <v>10429681.130000001</v>
      </c>
      <c r="Q12" s="1428">
        <f>'Проверочная  таблица'!DF14</f>
        <v>0</v>
      </c>
      <c r="R12" s="1397"/>
      <c r="S12" s="1425">
        <f>'Проверочная  таблица'!DH14</f>
        <v>10429681.130000001</v>
      </c>
      <c r="T12" s="104">
        <f>'Проверочная  таблица'!DX14</f>
        <v>0</v>
      </c>
      <c r="U12" s="1397">
        <f t="shared" si="5"/>
        <v>0</v>
      </c>
      <c r="V12" s="1397"/>
      <c r="W12" s="1398"/>
      <c r="X12" s="101">
        <f>'Проверочная  таблица'!EF14</f>
        <v>0</v>
      </c>
      <c r="Y12" s="1397">
        <f t="shared" si="6"/>
        <v>0</v>
      </c>
      <c r="Z12" s="1397"/>
      <c r="AA12" s="1397"/>
      <c r="AB12" s="104">
        <f>'Проверочная  таблица'!DZ14</f>
        <v>0</v>
      </c>
      <c r="AC12" s="1397">
        <f t="shared" si="7"/>
        <v>0</v>
      </c>
      <c r="AD12" s="1397"/>
      <c r="AE12" s="1398"/>
      <c r="AF12" s="103">
        <f>'Проверочная  таблица'!EH14</f>
        <v>0</v>
      </c>
      <c r="AG12" s="1397">
        <f t="shared" si="8"/>
        <v>0</v>
      </c>
      <c r="AH12" s="1397"/>
      <c r="AI12" s="1398"/>
      <c r="AJ12" s="103">
        <f>'Проверочная  таблица'!EU14</f>
        <v>0</v>
      </c>
      <c r="AK12" s="1397">
        <f t="shared" si="9"/>
        <v>0</v>
      </c>
      <c r="AL12" s="1397"/>
      <c r="AM12" s="1398"/>
      <c r="AN12" s="101">
        <f>'Проверочная  таблица'!EX14</f>
        <v>0</v>
      </c>
      <c r="AO12" s="1397">
        <f t="shared" si="10"/>
        <v>0</v>
      </c>
      <c r="AP12" s="1397"/>
      <c r="AQ12" s="1398"/>
      <c r="AR12" s="103">
        <f>'Проверочная  таблица'!FG14</f>
        <v>2721240</v>
      </c>
      <c r="AS12" s="1397">
        <f t="shared" si="11"/>
        <v>2721240</v>
      </c>
      <c r="AT12" s="1397"/>
      <c r="AU12" s="1398"/>
      <c r="AV12" s="103">
        <f>'Проверочная  таблица'!FL14</f>
        <v>0</v>
      </c>
      <c r="AW12" s="1397">
        <f t="shared" si="12"/>
        <v>0</v>
      </c>
      <c r="AX12" s="1397"/>
      <c r="AY12" s="1398"/>
      <c r="AZ12" s="101">
        <f>'Проверочная  таблица'!FI14</f>
        <v>0</v>
      </c>
      <c r="BA12" s="1397"/>
      <c r="BB12" s="1397"/>
      <c r="BC12" s="1398"/>
      <c r="BD12" s="101">
        <f>'Проверочная  таблица'!FN14</f>
        <v>0</v>
      </c>
      <c r="BE12" s="1397"/>
      <c r="BF12" s="1397"/>
      <c r="BG12" s="1398"/>
      <c r="BH12" s="103">
        <f>'Проверочная  таблица'!FQ14</f>
        <v>0</v>
      </c>
      <c r="BI12" s="1397">
        <f t="shared" si="16"/>
        <v>0</v>
      </c>
      <c r="BJ12" s="1425"/>
      <c r="BK12" s="1398"/>
      <c r="BL12" s="101">
        <f>'Проверочная  таблица'!FT14</f>
        <v>0</v>
      </c>
      <c r="BM12" s="1397">
        <f t="shared" si="17"/>
        <v>0</v>
      </c>
      <c r="BN12" s="1397"/>
      <c r="BO12" s="1398"/>
      <c r="BP12" s="101">
        <f>'Проверочная  таблица'!FW14</f>
        <v>0</v>
      </c>
      <c r="BQ12" s="1397"/>
      <c r="BR12" s="1397"/>
      <c r="BS12" s="1398"/>
      <c r="BT12" s="101">
        <f>'Проверочная  таблица'!FZ14</f>
        <v>0</v>
      </c>
      <c r="BU12" s="1397"/>
      <c r="BV12" s="1397"/>
      <c r="BW12" s="1397"/>
      <c r="BX12" s="104">
        <f>'Проверочная  таблица'!GC14+'Проверочная  таблица'!GI14</f>
        <v>1223997.67</v>
      </c>
      <c r="BY12" s="1428">
        <f>'Проверочная  таблица'!GC14</f>
        <v>215999.59</v>
      </c>
      <c r="BZ12" s="1397">
        <f>'Проверочная  таблица'!GO14</f>
        <v>1007998.08</v>
      </c>
      <c r="CA12" s="1425">
        <f>'Проверочная  таблица'!GU14</f>
        <v>0</v>
      </c>
      <c r="CB12" s="104">
        <f>'Проверочная  таблица'!GF14+'Проверочная  таблица'!GL14</f>
        <v>1223997.67</v>
      </c>
      <c r="CC12" s="1428">
        <f>'Проверочная  таблица'!GF14</f>
        <v>215999.59</v>
      </c>
      <c r="CD12" s="1397">
        <f>'Проверочная  таблица'!GR14</f>
        <v>1007998.08</v>
      </c>
      <c r="CE12" s="1425">
        <f>'Проверочная  таблица'!GX14</f>
        <v>0</v>
      </c>
      <c r="CF12" s="104">
        <f>'Проверочная  таблица'!HI14+'Проверочная  таблица'!IA14</f>
        <v>4136.47</v>
      </c>
      <c r="CG12" s="1428">
        <f>'Проверочная  таблица'!HI14</f>
        <v>4136.47</v>
      </c>
      <c r="CH12" s="1397"/>
      <c r="CI12" s="1425">
        <f>'Проверочная  таблица'!JK14</f>
        <v>0</v>
      </c>
      <c r="CJ12" s="104">
        <f>'Проверочная  таблица'!IJ14+'Проверочная  таблица'!HR14</f>
        <v>4136.47</v>
      </c>
      <c r="CK12" s="1428">
        <f>'Проверочная  таблица'!HR14</f>
        <v>4136.47</v>
      </c>
      <c r="CL12" s="1397"/>
      <c r="CM12" s="1425">
        <f>'Проверочная  таблица'!JT14</f>
        <v>0</v>
      </c>
      <c r="CN12" s="104">
        <f>'Проверочная  таблица'!HK14+'Проверочная  таблица'!IC14</f>
        <v>85480.639999999999</v>
      </c>
      <c r="CO12" s="1428">
        <f>'Проверочная  таблица'!HK14</f>
        <v>38854.839999999997</v>
      </c>
      <c r="CP12" s="1397">
        <f>'Проверочная  таблица'!IU14</f>
        <v>23312.9</v>
      </c>
      <c r="CQ12" s="1425">
        <f>'Проверочная  таблица'!JM14</f>
        <v>23312.9</v>
      </c>
      <c r="CR12" s="104">
        <f>'Проверочная  таблица'!IL14+'Проверочная  таблица'!HT14</f>
        <v>85480.639999999999</v>
      </c>
      <c r="CS12" s="1428">
        <f>'Проверочная  таблица'!HT14</f>
        <v>38854.839999999997</v>
      </c>
      <c r="CT12" s="1397">
        <f>'Проверочная  таблица'!JD14</f>
        <v>23312.9</v>
      </c>
      <c r="CU12" s="1425">
        <f>'Проверочная  таблица'!JV14</f>
        <v>23312.9</v>
      </c>
      <c r="CV12" s="104">
        <f>'Проверочная  таблица'!HM14+'Проверочная  таблица'!IE14</f>
        <v>0</v>
      </c>
      <c r="CW12" s="1397"/>
      <c r="CX12" s="1397"/>
      <c r="CY12" s="1398"/>
      <c r="CZ12" s="103">
        <f>'Проверочная  таблица'!HV14+'Проверочная  таблица'!IN14</f>
        <v>0</v>
      </c>
      <c r="DA12" s="1397"/>
      <c r="DB12" s="1397"/>
      <c r="DC12" s="1398"/>
      <c r="DD12" s="103">
        <f>'Проверочная  таблица'!HG14+'Проверочная  таблица'!HY14</f>
        <v>0</v>
      </c>
      <c r="DE12" s="1428"/>
      <c r="DF12" s="1397">
        <f t="shared" si="18"/>
        <v>0</v>
      </c>
      <c r="DG12" s="1398"/>
      <c r="DH12" s="101">
        <f>'Проверочная  таблица'!IH14+'Проверочная  таблица'!HP14</f>
        <v>0</v>
      </c>
      <c r="DI12" s="1397"/>
      <c r="DJ12" s="1397">
        <f t="shared" si="19"/>
        <v>0</v>
      </c>
      <c r="DK12" s="1398"/>
      <c r="DL12" s="103">
        <f>'Проверочная  таблица'!KA14</f>
        <v>0</v>
      </c>
      <c r="DM12" s="1443">
        <f t="shared" si="20"/>
        <v>0</v>
      </c>
      <c r="DN12" s="1425"/>
      <c r="DO12" s="1398"/>
      <c r="DP12" s="103">
        <f>'Проверочная  таблица'!KF14</f>
        <v>0</v>
      </c>
      <c r="DQ12" s="1443">
        <f t="shared" si="21"/>
        <v>0</v>
      </c>
      <c r="DR12" s="1397"/>
      <c r="DS12" s="1398"/>
      <c r="DT12" s="101">
        <f>'Проверочная  таблица'!KC14</f>
        <v>0</v>
      </c>
      <c r="DU12" s="1397"/>
      <c r="DV12" s="1397"/>
      <c r="DW12" s="1398"/>
      <c r="DX12" s="103">
        <f>'Проверочная  таблица'!KH14</f>
        <v>0</v>
      </c>
      <c r="DY12" s="1397"/>
      <c r="DZ12" s="1397"/>
      <c r="EA12" s="1398"/>
      <c r="EB12" s="103">
        <f>'Проверочная  таблица'!KL14</f>
        <v>0</v>
      </c>
      <c r="EC12" s="1397"/>
      <c r="ED12" s="1397"/>
      <c r="EE12" s="1398"/>
      <c r="EF12" s="101">
        <f>'Проверочная  таблица'!KR14</f>
        <v>0</v>
      </c>
      <c r="EG12" s="1397"/>
      <c r="EH12" s="1397"/>
      <c r="EI12" s="1398"/>
      <c r="EJ12" s="101">
        <f>'Проверочная  таблица'!KN14</f>
        <v>0</v>
      </c>
      <c r="EK12" s="1397"/>
      <c r="EL12" s="1397"/>
      <c r="EM12" s="1398"/>
      <c r="EN12" s="101">
        <f>'Проверочная  таблица'!KT14</f>
        <v>0</v>
      </c>
      <c r="EO12" s="1397"/>
      <c r="EP12" s="1397"/>
      <c r="EQ12" s="1398"/>
      <c r="ER12" s="103">
        <f>'Проверочная  таблица'!KX14</f>
        <v>0</v>
      </c>
      <c r="ES12" s="1397"/>
      <c r="ET12" s="1397"/>
      <c r="EU12" s="1398"/>
      <c r="EV12" s="101">
        <f>'Проверочная  таблица'!LB14</f>
        <v>0</v>
      </c>
      <c r="EW12" s="1397"/>
      <c r="EX12" s="1397"/>
      <c r="EY12" s="1397"/>
      <c r="EZ12" s="104">
        <f>'Проверочная  таблица'!LI14+'Проверочная  таблица'!LW14</f>
        <v>5225000</v>
      </c>
      <c r="FA12" s="1428">
        <f>'Проверочная  таблица'!LI14</f>
        <v>0</v>
      </c>
      <c r="FB12" s="1397"/>
      <c r="FC12" s="1425">
        <f>'Проверочная  таблица'!LW14</f>
        <v>5225000</v>
      </c>
      <c r="FD12" s="104">
        <f>'Проверочная  таблица'!LP14+'Проверочная  таблица'!MB14</f>
        <v>0</v>
      </c>
      <c r="FE12" s="1428">
        <f>'Проверочная  таблица'!LP14</f>
        <v>0</v>
      </c>
      <c r="FF12" s="1397"/>
      <c r="FG12" s="1425">
        <f>'Проверочная  таблица'!MB14</f>
        <v>0</v>
      </c>
      <c r="FH12" s="104">
        <f>'Проверочная  таблица'!LK14+'Проверочная  таблица'!LY14</f>
        <v>0</v>
      </c>
      <c r="FI12" s="1428">
        <f>'Проверочная  таблица'!LK14</f>
        <v>0</v>
      </c>
      <c r="FJ12" s="1397"/>
      <c r="FK12" s="1425">
        <f>'Проверочная  таблица'!LY14</f>
        <v>0</v>
      </c>
      <c r="FL12" s="104">
        <f>'Проверочная  таблица'!LR14+'Проверочная  таблица'!MD14</f>
        <v>0</v>
      </c>
      <c r="FM12" s="1428">
        <f>'Проверочная  таблица'!LR14</f>
        <v>0</v>
      </c>
      <c r="FN12" s="1397"/>
      <c r="FO12" s="1425">
        <f>'Проверочная  таблица'!MD14</f>
        <v>0</v>
      </c>
      <c r="FP12" s="104">
        <f>'Проверочная  таблица'!LM14</f>
        <v>0</v>
      </c>
      <c r="FQ12" s="1397"/>
      <c r="FR12" s="1397"/>
      <c r="FS12" s="1398"/>
      <c r="FT12" s="101">
        <f>'Проверочная  таблица'!LT14</f>
        <v>0</v>
      </c>
      <c r="FU12" s="1397"/>
      <c r="FV12" s="1397"/>
      <c r="FW12" s="1397"/>
      <c r="FX12" s="104">
        <f>'Проверочная  таблица'!NE14</f>
        <v>385199.28</v>
      </c>
      <c r="FY12" s="1428"/>
      <c r="FZ12" s="1397">
        <f t="shared" si="22"/>
        <v>385199.28</v>
      </c>
      <c r="GA12" s="1398"/>
      <c r="GB12" s="101">
        <f>'Проверочная  таблица'!NH14</f>
        <v>385199.28</v>
      </c>
      <c r="GC12" s="1397"/>
      <c r="GD12" s="1397">
        <f t="shared" si="23"/>
        <v>385199.28</v>
      </c>
      <c r="GE12" s="1398"/>
      <c r="GF12" s="103">
        <f>'Проверочная  таблица'!NW14</f>
        <v>0</v>
      </c>
      <c r="GG12" s="1397"/>
      <c r="GH12" s="1397"/>
      <c r="GI12" s="1398"/>
      <c r="GJ12" s="103">
        <f>'Проверочная  таблица'!NZ14</f>
        <v>0</v>
      </c>
      <c r="GK12" s="1397"/>
      <c r="GL12" s="1397"/>
      <c r="GM12" s="1398"/>
      <c r="GN12" s="101">
        <f>'Проверочная  таблица'!OW14+'Проверочная  таблица'!PM14</f>
        <v>1466000</v>
      </c>
      <c r="GO12" s="1397"/>
      <c r="GP12" s="1397">
        <f t="shared" si="24"/>
        <v>1466000</v>
      </c>
      <c r="GQ12" s="1398"/>
      <c r="GR12" s="101">
        <f>'Проверочная  таблица'!PD14+'Проверочная  таблица'!PV14</f>
        <v>0</v>
      </c>
      <c r="GS12" s="1397"/>
      <c r="GT12" s="1397">
        <f t="shared" si="25"/>
        <v>0</v>
      </c>
      <c r="GU12" s="1398"/>
      <c r="GV12" s="103">
        <f>'Проверочная  таблица'!PI14</f>
        <v>0</v>
      </c>
      <c r="GW12" s="1428"/>
      <c r="GX12" s="1397">
        <f t="shared" si="26"/>
        <v>0</v>
      </c>
      <c r="GY12" s="1398"/>
      <c r="GZ12" s="103">
        <f>'Проверочная  таблица'!PR14</f>
        <v>0</v>
      </c>
      <c r="HA12" s="1397"/>
      <c r="HB12" s="1397">
        <f t="shared" si="27"/>
        <v>0</v>
      </c>
      <c r="HC12" s="1398"/>
      <c r="HD12" s="103">
        <f>'Проверочная  таблица'!OU14+'Проверочная  таблица'!PK14</f>
        <v>0</v>
      </c>
      <c r="HE12" s="1428">
        <f>'Проверочная  таблица'!OU14</f>
        <v>0</v>
      </c>
      <c r="HF12" s="1397">
        <f>'Проверочная  таблица'!PK14</f>
        <v>0</v>
      </c>
      <c r="HG12" s="1398"/>
      <c r="HH12" s="103">
        <f>'Проверочная  таблица'!PB14+'Проверочная  таблица'!PT14</f>
        <v>0</v>
      </c>
      <c r="HI12" s="1428">
        <f>'Проверочная  таблица'!PB14</f>
        <v>0</v>
      </c>
      <c r="HJ12" s="1397">
        <f>'Проверочная  таблица'!PT14</f>
        <v>0</v>
      </c>
      <c r="HK12" s="1398"/>
      <c r="HL12" s="103">
        <f>'Проверочная  таблица'!OY14+'Проверочная  таблица'!PO14</f>
        <v>0</v>
      </c>
      <c r="HM12" s="1397">
        <f t="shared" si="28"/>
        <v>0</v>
      </c>
      <c r="HN12" s="1425"/>
      <c r="HO12" s="1398"/>
      <c r="HP12" s="103">
        <f>'Проверочная  таблица'!PF14+'Проверочная  таблица'!PX14</f>
        <v>0</v>
      </c>
      <c r="HQ12" s="1397">
        <f t="shared" si="29"/>
        <v>0</v>
      </c>
      <c r="HR12" s="1397"/>
      <c r="HS12" s="1397"/>
    </row>
    <row r="13" spans="1:227" ht="25.5" customHeight="1" x14ac:dyDescent="0.3">
      <c r="A13" s="102" t="s">
        <v>91</v>
      </c>
      <c r="B13" s="1445">
        <f t="shared" si="13"/>
        <v>0</v>
      </c>
      <c r="C13" s="1445">
        <f t="shared" si="14"/>
        <v>0</v>
      </c>
      <c r="D13" s="269">
        <f t="shared" si="15"/>
        <v>4276963.68</v>
      </c>
      <c r="E13" s="1420">
        <f t="shared" si="0"/>
        <v>991905.37</v>
      </c>
      <c r="F13" s="1420">
        <f t="shared" si="0"/>
        <v>3285058.3099999996</v>
      </c>
      <c r="G13" s="1420">
        <f t="shared" si="0"/>
        <v>0</v>
      </c>
      <c r="H13" s="269">
        <f t="shared" si="1"/>
        <v>4208136.33</v>
      </c>
      <c r="I13" s="1420">
        <f t="shared" si="2"/>
        <v>991905.37</v>
      </c>
      <c r="J13" s="1420">
        <f t="shared" si="3"/>
        <v>3216230.96</v>
      </c>
      <c r="K13" s="1420">
        <f t="shared" si="4"/>
        <v>0</v>
      </c>
      <c r="L13" s="104">
        <f>'Проверочная  таблица'!DE15+'Проверочная  таблица'!DG15</f>
        <v>0</v>
      </c>
      <c r="M13" s="1428">
        <f>'Проверочная  таблица'!DE15</f>
        <v>0</v>
      </c>
      <c r="N13" s="1397"/>
      <c r="O13" s="1425">
        <f>'Проверочная  таблица'!DG15</f>
        <v>0</v>
      </c>
      <c r="P13" s="104">
        <f>'Проверочная  таблица'!DF15+'Проверочная  таблица'!DH15</f>
        <v>0</v>
      </c>
      <c r="Q13" s="1428">
        <f>'Проверочная  таблица'!DF15</f>
        <v>0</v>
      </c>
      <c r="R13" s="1397"/>
      <c r="S13" s="1425">
        <f>'Проверочная  таблица'!DH15</f>
        <v>0</v>
      </c>
      <c r="T13" s="104">
        <f>'Проверочная  таблица'!DX15</f>
        <v>0</v>
      </c>
      <c r="U13" s="1397">
        <f t="shared" si="5"/>
        <v>0</v>
      </c>
      <c r="V13" s="1397"/>
      <c r="W13" s="1398"/>
      <c r="X13" s="101">
        <f>'Проверочная  таблица'!EF15</f>
        <v>0</v>
      </c>
      <c r="Y13" s="1397">
        <f t="shared" si="6"/>
        <v>0</v>
      </c>
      <c r="Z13" s="1397"/>
      <c r="AA13" s="1397"/>
      <c r="AB13" s="104">
        <f>'Проверочная  таблица'!DZ15</f>
        <v>0</v>
      </c>
      <c r="AC13" s="1397">
        <f t="shared" si="7"/>
        <v>0</v>
      </c>
      <c r="AD13" s="1397"/>
      <c r="AE13" s="1398"/>
      <c r="AF13" s="103">
        <f>'Проверочная  таблица'!EH15</f>
        <v>0</v>
      </c>
      <c r="AG13" s="1397">
        <f t="shared" si="8"/>
        <v>0</v>
      </c>
      <c r="AH13" s="1397"/>
      <c r="AI13" s="1398"/>
      <c r="AJ13" s="103">
        <f>'Проверочная  таблица'!EU15</f>
        <v>0</v>
      </c>
      <c r="AK13" s="1397">
        <f t="shared" si="9"/>
        <v>0</v>
      </c>
      <c r="AL13" s="1397"/>
      <c r="AM13" s="1398"/>
      <c r="AN13" s="101">
        <f>'Проверочная  таблица'!EX15</f>
        <v>0</v>
      </c>
      <c r="AO13" s="1397">
        <f t="shared" si="10"/>
        <v>0</v>
      </c>
      <c r="AP13" s="1397"/>
      <c r="AQ13" s="1398"/>
      <c r="AR13" s="103">
        <f>'Проверочная  таблица'!FG15</f>
        <v>0</v>
      </c>
      <c r="AS13" s="1397">
        <f t="shared" si="11"/>
        <v>0</v>
      </c>
      <c r="AT13" s="1397"/>
      <c r="AU13" s="1398"/>
      <c r="AV13" s="103">
        <f>'Проверочная  таблица'!FL15</f>
        <v>0</v>
      </c>
      <c r="AW13" s="1397">
        <f t="shared" si="12"/>
        <v>0</v>
      </c>
      <c r="AX13" s="1397"/>
      <c r="AY13" s="1398"/>
      <c r="AZ13" s="101">
        <f>'Проверочная  таблица'!FI15</f>
        <v>0</v>
      </c>
      <c r="BA13" s="1397"/>
      <c r="BB13" s="1397"/>
      <c r="BC13" s="1398"/>
      <c r="BD13" s="101">
        <f>'Проверочная  таблица'!FN15</f>
        <v>0</v>
      </c>
      <c r="BE13" s="1397"/>
      <c r="BF13" s="1397"/>
      <c r="BG13" s="1398"/>
      <c r="BH13" s="103">
        <f>'Проверочная  таблица'!FQ15</f>
        <v>0</v>
      </c>
      <c r="BI13" s="1397">
        <f t="shared" si="16"/>
        <v>0</v>
      </c>
      <c r="BJ13" s="1425"/>
      <c r="BK13" s="1398"/>
      <c r="BL13" s="101">
        <f>'Проверочная  таблица'!FT15</f>
        <v>0</v>
      </c>
      <c r="BM13" s="1397">
        <f t="shared" si="17"/>
        <v>0</v>
      </c>
      <c r="BN13" s="1397"/>
      <c r="BO13" s="1398"/>
      <c r="BP13" s="101">
        <f>'Проверочная  таблица'!FW15</f>
        <v>0</v>
      </c>
      <c r="BQ13" s="1397"/>
      <c r="BR13" s="1397"/>
      <c r="BS13" s="1398"/>
      <c r="BT13" s="101">
        <f>'Проверочная  таблица'!FZ15</f>
        <v>0</v>
      </c>
      <c r="BU13" s="1397"/>
      <c r="BV13" s="1397"/>
      <c r="BW13" s="1397"/>
      <c r="BX13" s="104">
        <f>'Проверочная  таблица'!GC15+'Проверочная  таблица'!GI15</f>
        <v>970726.63</v>
      </c>
      <c r="BY13" s="1428">
        <f>'Проверочная  таблица'!GC15</f>
        <v>970726.63</v>
      </c>
      <c r="BZ13" s="1397">
        <f>'Проверочная  таблица'!GO15</f>
        <v>0</v>
      </c>
      <c r="CA13" s="1425">
        <f>'Проверочная  таблица'!GU15</f>
        <v>0</v>
      </c>
      <c r="CB13" s="104">
        <f>'Проверочная  таблица'!GF15+'Проверочная  таблица'!GL15</f>
        <v>970726.63</v>
      </c>
      <c r="CC13" s="1428">
        <f>'Проверочная  таблица'!GF15</f>
        <v>970726.63</v>
      </c>
      <c r="CD13" s="1397">
        <f>'Проверочная  таблица'!GR15</f>
        <v>0</v>
      </c>
      <c r="CE13" s="1425">
        <f>'Проверочная  таблица'!GX15</f>
        <v>0</v>
      </c>
      <c r="CF13" s="104">
        <f>'Проверочная  таблица'!HI15+'Проверочная  таблица'!IA15</f>
        <v>21178.74</v>
      </c>
      <c r="CG13" s="1428">
        <f>'Проверочная  таблица'!HI15</f>
        <v>21178.74</v>
      </c>
      <c r="CH13" s="1397"/>
      <c r="CI13" s="1425">
        <f>'Проверочная  таблица'!JK15</f>
        <v>0</v>
      </c>
      <c r="CJ13" s="104">
        <f>'Проверочная  таблица'!IJ15+'Проверочная  таблица'!HR15</f>
        <v>21178.74</v>
      </c>
      <c r="CK13" s="1428">
        <f>'Проверочная  таблица'!HR15</f>
        <v>21178.74</v>
      </c>
      <c r="CL13" s="1397"/>
      <c r="CM13" s="1425">
        <f>'Проверочная  таблица'!JT15</f>
        <v>0</v>
      </c>
      <c r="CN13" s="104">
        <f>'Проверочная  таблица'!HK15+'Проверочная  таблица'!IC15</f>
        <v>0</v>
      </c>
      <c r="CO13" s="1428">
        <f>'Проверочная  таблица'!HK15</f>
        <v>0</v>
      </c>
      <c r="CP13" s="1397">
        <f>'Проверочная  таблица'!IU15</f>
        <v>0</v>
      </c>
      <c r="CQ13" s="1425">
        <f>'Проверочная  таблица'!JM15</f>
        <v>0</v>
      </c>
      <c r="CR13" s="104">
        <f>'Проверочная  таблица'!IL15+'Проверочная  таблица'!HT15</f>
        <v>0</v>
      </c>
      <c r="CS13" s="1428">
        <f>'Проверочная  таблица'!HT15</f>
        <v>0</v>
      </c>
      <c r="CT13" s="1397">
        <f>'Проверочная  таблица'!JD15</f>
        <v>0</v>
      </c>
      <c r="CU13" s="1425">
        <f>'Проверочная  таблица'!JV15</f>
        <v>0</v>
      </c>
      <c r="CV13" s="104">
        <f>'Проверочная  таблица'!HM15+'Проверочная  таблица'!IE15</f>
        <v>0</v>
      </c>
      <c r="CW13" s="1397"/>
      <c r="CX13" s="1397"/>
      <c r="CY13" s="1398"/>
      <c r="CZ13" s="103">
        <f>'Проверочная  таблица'!HV15+'Проверочная  таблица'!IN15</f>
        <v>0</v>
      </c>
      <c r="DA13" s="1397"/>
      <c r="DB13" s="1397"/>
      <c r="DC13" s="1398"/>
      <c r="DD13" s="103">
        <f>'Проверочная  таблица'!HG15+'Проверочная  таблица'!HY15</f>
        <v>0</v>
      </c>
      <c r="DE13" s="1428"/>
      <c r="DF13" s="1397">
        <f t="shared" si="18"/>
        <v>0</v>
      </c>
      <c r="DG13" s="1398"/>
      <c r="DH13" s="101">
        <f>'Проверочная  таблица'!IH15+'Проверочная  таблица'!HP15</f>
        <v>0</v>
      </c>
      <c r="DI13" s="1397"/>
      <c r="DJ13" s="1397">
        <f t="shared" si="19"/>
        <v>0</v>
      </c>
      <c r="DK13" s="1398"/>
      <c r="DL13" s="103">
        <f>'Проверочная  таблица'!KA15</f>
        <v>0</v>
      </c>
      <c r="DM13" s="1443">
        <f t="shared" si="20"/>
        <v>0</v>
      </c>
      <c r="DN13" s="1425"/>
      <c r="DO13" s="1398"/>
      <c r="DP13" s="103">
        <f>'Проверочная  таблица'!KF15</f>
        <v>0</v>
      </c>
      <c r="DQ13" s="1443">
        <f t="shared" si="21"/>
        <v>0</v>
      </c>
      <c r="DR13" s="1397"/>
      <c r="DS13" s="1398"/>
      <c r="DT13" s="101">
        <f>'Проверочная  таблица'!KC15</f>
        <v>0</v>
      </c>
      <c r="DU13" s="1397"/>
      <c r="DV13" s="1397"/>
      <c r="DW13" s="1398"/>
      <c r="DX13" s="103">
        <f>'Проверочная  таблица'!KH15</f>
        <v>0</v>
      </c>
      <c r="DY13" s="1397"/>
      <c r="DZ13" s="1397"/>
      <c r="EA13" s="1398"/>
      <c r="EB13" s="103">
        <f>'Проверочная  таблица'!KL15</f>
        <v>0</v>
      </c>
      <c r="EC13" s="1397"/>
      <c r="ED13" s="1397"/>
      <c r="EE13" s="1398"/>
      <c r="EF13" s="101">
        <f>'Проверочная  таблица'!KR15</f>
        <v>0</v>
      </c>
      <c r="EG13" s="1397"/>
      <c r="EH13" s="1397"/>
      <c r="EI13" s="1398"/>
      <c r="EJ13" s="101">
        <f>'Проверочная  таблица'!KN15</f>
        <v>0</v>
      </c>
      <c r="EK13" s="1397"/>
      <c r="EL13" s="1397"/>
      <c r="EM13" s="1398"/>
      <c r="EN13" s="101">
        <f>'Проверочная  таблица'!KT15</f>
        <v>0</v>
      </c>
      <c r="EO13" s="1397"/>
      <c r="EP13" s="1397"/>
      <c r="EQ13" s="1398"/>
      <c r="ER13" s="103">
        <f>'Проверочная  таблица'!KX15</f>
        <v>0</v>
      </c>
      <c r="ES13" s="1397"/>
      <c r="ET13" s="1397"/>
      <c r="EU13" s="1398"/>
      <c r="EV13" s="101">
        <f>'Проверочная  таблица'!LB15</f>
        <v>0</v>
      </c>
      <c r="EW13" s="1397"/>
      <c r="EX13" s="1397"/>
      <c r="EY13" s="1397"/>
      <c r="EZ13" s="104">
        <f>'Проверочная  таблица'!LI15+'Проверочная  таблица'!LW15</f>
        <v>0</v>
      </c>
      <c r="FA13" s="1428">
        <f>'Проверочная  таблица'!LI15</f>
        <v>0</v>
      </c>
      <c r="FB13" s="1397"/>
      <c r="FC13" s="1425">
        <f>'Проверочная  таблица'!LW15</f>
        <v>0</v>
      </c>
      <c r="FD13" s="104">
        <f>'Проверочная  таблица'!LP15+'Проверочная  таблица'!MB15</f>
        <v>0</v>
      </c>
      <c r="FE13" s="1428">
        <f>'Проверочная  таблица'!LP15</f>
        <v>0</v>
      </c>
      <c r="FF13" s="1397"/>
      <c r="FG13" s="1425">
        <f>'Проверочная  таблица'!MB15</f>
        <v>0</v>
      </c>
      <c r="FH13" s="104">
        <f>'Проверочная  таблица'!LK15+'Проверочная  таблица'!LY15</f>
        <v>0</v>
      </c>
      <c r="FI13" s="1428">
        <f>'Проверочная  таблица'!LK15</f>
        <v>0</v>
      </c>
      <c r="FJ13" s="1397"/>
      <c r="FK13" s="1425">
        <f>'Проверочная  таблица'!LY15</f>
        <v>0</v>
      </c>
      <c r="FL13" s="104">
        <f>'Проверочная  таблица'!LR15+'Проверочная  таблица'!MD15</f>
        <v>0</v>
      </c>
      <c r="FM13" s="1428">
        <f>'Проверочная  таблица'!LR15</f>
        <v>0</v>
      </c>
      <c r="FN13" s="1397"/>
      <c r="FO13" s="1425">
        <f>'Проверочная  таблица'!MD15</f>
        <v>0</v>
      </c>
      <c r="FP13" s="104">
        <f>'Проверочная  таблица'!LM15</f>
        <v>0</v>
      </c>
      <c r="FQ13" s="1397"/>
      <c r="FR13" s="1397"/>
      <c r="FS13" s="1398"/>
      <c r="FT13" s="101">
        <f>'Проверочная  таблица'!LT15</f>
        <v>0</v>
      </c>
      <c r="FU13" s="1397"/>
      <c r="FV13" s="1397"/>
      <c r="FW13" s="1397"/>
      <c r="FX13" s="104">
        <f>'Проверочная  таблица'!NE15</f>
        <v>0</v>
      </c>
      <c r="FY13" s="1428"/>
      <c r="FZ13" s="1397">
        <f t="shared" si="22"/>
        <v>0</v>
      </c>
      <c r="GA13" s="1398"/>
      <c r="GB13" s="101">
        <f>'Проверочная  таблица'!NH15</f>
        <v>0</v>
      </c>
      <c r="GC13" s="1397"/>
      <c r="GD13" s="1397">
        <f t="shared" si="23"/>
        <v>0</v>
      </c>
      <c r="GE13" s="1398"/>
      <c r="GF13" s="103">
        <f>'Проверочная  таблица'!NW15</f>
        <v>0</v>
      </c>
      <c r="GG13" s="1397"/>
      <c r="GH13" s="1397"/>
      <c r="GI13" s="1398"/>
      <c r="GJ13" s="103">
        <f>'Проверочная  таблица'!NZ15</f>
        <v>0</v>
      </c>
      <c r="GK13" s="1397"/>
      <c r="GL13" s="1397"/>
      <c r="GM13" s="1398"/>
      <c r="GN13" s="101">
        <f>'Проверочная  таблица'!OW15+'Проверочная  таблица'!PM15</f>
        <v>0</v>
      </c>
      <c r="GO13" s="1397"/>
      <c r="GP13" s="1397">
        <f t="shared" si="24"/>
        <v>0</v>
      </c>
      <c r="GQ13" s="1398"/>
      <c r="GR13" s="101">
        <f>'Проверочная  таблица'!PD15+'Проверочная  таблица'!PV15</f>
        <v>0</v>
      </c>
      <c r="GS13" s="1397"/>
      <c r="GT13" s="1397">
        <f t="shared" si="25"/>
        <v>0</v>
      </c>
      <c r="GU13" s="1398"/>
      <c r="GV13" s="103">
        <f>'Проверочная  таблица'!PI15</f>
        <v>0</v>
      </c>
      <c r="GW13" s="1428"/>
      <c r="GX13" s="1397">
        <f t="shared" si="26"/>
        <v>0</v>
      </c>
      <c r="GY13" s="1398"/>
      <c r="GZ13" s="103">
        <f>'Проверочная  таблица'!PR15</f>
        <v>0</v>
      </c>
      <c r="HA13" s="1397"/>
      <c r="HB13" s="1397">
        <f t="shared" si="27"/>
        <v>0</v>
      </c>
      <c r="HC13" s="1398"/>
      <c r="HD13" s="103">
        <f>'Проверочная  таблица'!OU15+'Проверочная  таблица'!PK15</f>
        <v>3285058.3099999996</v>
      </c>
      <c r="HE13" s="1428">
        <f>'Проверочная  таблица'!OU15</f>
        <v>0</v>
      </c>
      <c r="HF13" s="1397">
        <f>'Проверочная  таблица'!PK15</f>
        <v>3285058.3099999996</v>
      </c>
      <c r="HG13" s="1398"/>
      <c r="HH13" s="103">
        <f>'Проверочная  таблица'!PB15+'Проверочная  таблица'!PT15</f>
        <v>3216230.96</v>
      </c>
      <c r="HI13" s="1428">
        <f>'Проверочная  таблица'!PB15</f>
        <v>0</v>
      </c>
      <c r="HJ13" s="1397">
        <f>'Проверочная  таблица'!PT15</f>
        <v>3216230.96</v>
      </c>
      <c r="HK13" s="1398"/>
      <c r="HL13" s="103">
        <f>'Проверочная  таблица'!OY15+'Проверочная  таблица'!PO15</f>
        <v>0</v>
      </c>
      <c r="HM13" s="1397">
        <f t="shared" si="28"/>
        <v>0</v>
      </c>
      <c r="HN13" s="1425"/>
      <c r="HO13" s="1398"/>
      <c r="HP13" s="103">
        <f>'Проверочная  таблица'!PF15+'Проверочная  таблица'!PX15</f>
        <v>0</v>
      </c>
      <c r="HQ13" s="1397">
        <f t="shared" si="29"/>
        <v>0</v>
      </c>
      <c r="HR13" s="1397"/>
      <c r="HS13" s="1397"/>
    </row>
    <row r="14" spans="1:227" ht="25.5" customHeight="1" x14ac:dyDescent="0.3">
      <c r="A14" s="105" t="s">
        <v>92</v>
      </c>
      <c r="B14" s="1445">
        <f t="shared" si="13"/>
        <v>0</v>
      </c>
      <c r="C14" s="1445">
        <f t="shared" si="14"/>
        <v>3.7252902984619141E-9</v>
      </c>
      <c r="D14" s="269">
        <f t="shared" si="15"/>
        <v>30261635.329999998</v>
      </c>
      <c r="E14" s="1420">
        <f t="shared" si="0"/>
        <v>983135.33000000007</v>
      </c>
      <c r="F14" s="1420">
        <f t="shared" si="0"/>
        <v>29278500</v>
      </c>
      <c r="G14" s="1420">
        <f t="shared" si="0"/>
        <v>0</v>
      </c>
      <c r="H14" s="269">
        <f t="shared" si="1"/>
        <v>25251423.490000002</v>
      </c>
      <c r="I14" s="1420">
        <f t="shared" si="2"/>
        <v>983135.33000000007</v>
      </c>
      <c r="J14" s="1420">
        <f t="shared" si="3"/>
        <v>24268288.16</v>
      </c>
      <c r="K14" s="1420">
        <f t="shared" si="4"/>
        <v>0</v>
      </c>
      <c r="L14" s="104">
        <f>'Проверочная  таблица'!DE16+'Проверочная  таблица'!DG16</f>
        <v>0</v>
      </c>
      <c r="M14" s="1428">
        <f>'Проверочная  таблица'!DE16</f>
        <v>0</v>
      </c>
      <c r="N14" s="1397"/>
      <c r="O14" s="1425">
        <f>'Проверочная  таблица'!DG16</f>
        <v>0</v>
      </c>
      <c r="P14" s="104">
        <f>'Проверочная  таблица'!DF16+'Проверочная  таблица'!DH16</f>
        <v>0</v>
      </c>
      <c r="Q14" s="1428">
        <f>'Проверочная  таблица'!DF16</f>
        <v>0</v>
      </c>
      <c r="R14" s="1397"/>
      <c r="S14" s="1425">
        <f>'Проверочная  таблица'!DH16</f>
        <v>0</v>
      </c>
      <c r="T14" s="104">
        <f>'Проверочная  таблица'!DX16</f>
        <v>0</v>
      </c>
      <c r="U14" s="1397">
        <f t="shared" si="5"/>
        <v>0</v>
      </c>
      <c r="V14" s="1397"/>
      <c r="W14" s="1398"/>
      <c r="X14" s="101">
        <f>'Проверочная  таблица'!EF16</f>
        <v>0</v>
      </c>
      <c r="Y14" s="1397">
        <f t="shared" si="6"/>
        <v>0</v>
      </c>
      <c r="Z14" s="1397"/>
      <c r="AA14" s="1397"/>
      <c r="AB14" s="104">
        <f>'Проверочная  таблица'!DZ16</f>
        <v>0</v>
      </c>
      <c r="AC14" s="1397">
        <f t="shared" si="7"/>
        <v>0</v>
      </c>
      <c r="AD14" s="1397"/>
      <c r="AE14" s="1398"/>
      <c r="AF14" s="103">
        <f>'Проверочная  таблица'!EH16</f>
        <v>0</v>
      </c>
      <c r="AG14" s="1397">
        <f t="shared" si="8"/>
        <v>0</v>
      </c>
      <c r="AH14" s="1397"/>
      <c r="AI14" s="1398"/>
      <c r="AJ14" s="103">
        <f>'Проверочная  таблица'!EU16</f>
        <v>0</v>
      </c>
      <c r="AK14" s="1397">
        <f t="shared" si="9"/>
        <v>0</v>
      </c>
      <c r="AL14" s="1397"/>
      <c r="AM14" s="1398"/>
      <c r="AN14" s="101">
        <f>'Проверочная  таблица'!EX16</f>
        <v>0</v>
      </c>
      <c r="AO14" s="1397">
        <f t="shared" si="10"/>
        <v>0</v>
      </c>
      <c r="AP14" s="1397"/>
      <c r="AQ14" s="1398"/>
      <c r="AR14" s="103">
        <f>'Проверочная  таблица'!FG16</f>
        <v>0</v>
      </c>
      <c r="AS14" s="1397">
        <f t="shared" si="11"/>
        <v>0</v>
      </c>
      <c r="AT14" s="1397"/>
      <c r="AU14" s="1398"/>
      <c r="AV14" s="103">
        <f>'Проверочная  таблица'!FL16</f>
        <v>0</v>
      </c>
      <c r="AW14" s="1397">
        <f t="shared" si="12"/>
        <v>0</v>
      </c>
      <c r="AX14" s="1397"/>
      <c r="AY14" s="1398"/>
      <c r="AZ14" s="101">
        <f>'Проверочная  таблица'!FI16</f>
        <v>0</v>
      </c>
      <c r="BA14" s="1397"/>
      <c r="BB14" s="1397"/>
      <c r="BC14" s="1398"/>
      <c r="BD14" s="101">
        <f>'Проверочная  таблица'!FN16</f>
        <v>0</v>
      </c>
      <c r="BE14" s="1397"/>
      <c r="BF14" s="1397"/>
      <c r="BG14" s="1398"/>
      <c r="BH14" s="103">
        <f>'Проверочная  таблица'!FQ16</f>
        <v>0</v>
      </c>
      <c r="BI14" s="1397">
        <f t="shared" si="16"/>
        <v>0</v>
      </c>
      <c r="BJ14" s="1425"/>
      <c r="BK14" s="1398"/>
      <c r="BL14" s="101">
        <f>'Проверочная  таблица'!FT16</f>
        <v>0</v>
      </c>
      <c r="BM14" s="1397">
        <f t="shared" si="17"/>
        <v>0</v>
      </c>
      <c r="BN14" s="1397"/>
      <c r="BO14" s="1398"/>
      <c r="BP14" s="101">
        <f>'Проверочная  таблица'!FW16</f>
        <v>0</v>
      </c>
      <c r="BQ14" s="1397"/>
      <c r="BR14" s="1397"/>
      <c r="BS14" s="1398"/>
      <c r="BT14" s="101">
        <f>'Проверочная  таблица'!FZ16</f>
        <v>0</v>
      </c>
      <c r="BU14" s="1397"/>
      <c r="BV14" s="1397"/>
      <c r="BW14" s="1397"/>
      <c r="BX14" s="104">
        <f>'Проверочная  таблица'!GC16+'Проверочная  таблица'!GI16</f>
        <v>970725.91</v>
      </c>
      <c r="BY14" s="1428">
        <f>'Проверочная  таблица'!GC16</f>
        <v>970725.91</v>
      </c>
      <c r="BZ14" s="1397">
        <f>'Проверочная  таблица'!GO16</f>
        <v>0</v>
      </c>
      <c r="CA14" s="1425">
        <f>'Проверочная  таблица'!GU16</f>
        <v>0</v>
      </c>
      <c r="CB14" s="104">
        <f>'Проверочная  таблица'!GF16+'Проверочная  таблица'!GL16</f>
        <v>970725.91</v>
      </c>
      <c r="CC14" s="1428">
        <f>'Проверочная  таблица'!GF16</f>
        <v>970725.91</v>
      </c>
      <c r="CD14" s="1397">
        <f>'Проверочная  таблица'!GR16</f>
        <v>0</v>
      </c>
      <c r="CE14" s="1425">
        <f>'Проверочная  таблица'!GX16</f>
        <v>0</v>
      </c>
      <c r="CF14" s="104">
        <f>'Проверочная  таблица'!HI16+'Проверочная  таблица'!IA16</f>
        <v>12409.42</v>
      </c>
      <c r="CG14" s="1428">
        <f>'Проверочная  таблица'!HI16</f>
        <v>12409.42</v>
      </c>
      <c r="CH14" s="1397"/>
      <c r="CI14" s="1425">
        <f>'Проверочная  таблица'!JK16</f>
        <v>0</v>
      </c>
      <c r="CJ14" s="104">
        <f>'Проверочная  таблица'!IJ16+'Проверочная  таблица'!HR16</f>
        <v>12409.42</v>
      </c>
      <c r="CK14" s="1428">
        <f>'Проверочная  таблица'!HR16</f>
        <v>12409.42</v>
      </c>
      <c r="CL14" s="1397"/>
      <c r="CM14" s="1425">
        <f>'Проверочная  таблица'!JT16</f>
        <v>0</v>
      </c>
      <c r="CN14" s="104">
        <f>'Проверочная  таблица'!HK16+'Проверочная  таблица'!IC16</f>
        <v>0</v>
      </c>
      <c r="CO14" s="1428">
        <f>'Проверочная  таблица'!HK16</f>
        <v>0</v>
      </c>
      <c r="CP14" s="1397">
        <f>'Проверочная  таблица'!IU16</f>
        <v>0</v>
      </c>
      <c r="CQ14" s="1425">
        <f>'Проверочная  таблица'!JM16</f>
        <v>0</v>
      </c>
      <c r="CR14" s="104">
        <f>'Проверочная  таблица'!IL16+'Проверочная  таблица'!HT16</f>
        <v>0</v>
      </c>
      <c r="CS14" s="1428">
        <f>'Проверочная  таблица'!HT16</f>
        <v>0</v>
      </c>
      <c r="CT14" s="1397">
        <f>'Проверочная  таблица'!JD16</f>
        <v>0</v>
      </c>
      <c r="CU14" s="1425">
        <f>'Проверочная  таблица'!JV16</f>
        <v>0</v>
      </c>
      <c r="CV14" s="104">
        <f>'Проверочная  таблица'!HM16+'Проверочная  таблица'!IE16</f>
        <v>0</v>
      </c>
      <c r="CW14" s="1397"/>
      <c r="CX14" s="1397"/>
      <c r="CY14" s="1398"/>
      <c r="CZ14" s="103">
        <f>'Проверочная  таблица'!HV16+'Проверочная  таблица'!IN16</f>
        <v>0</v>
      </c>
      <c r="DA14" s="1397"/>
      <c r="DB14" s="1397"/>
      <c r="DC14" s="1398"/>
      <c r="DD14" s="103">
        <f>'Проверочная  таблица'!HG16+'Проверочная  таблица'!HY16</f>
        <v>0</v>
      </c>
      <c r="DE14" s="1428"/>
      <c r="DF14" s="1397">
        <f t="shared" si="18"/>
        <v>0</v>
      </c>
      <c r="DG14" s="1398"/>
      <c r="DH14" s="101">
        <f>'Проверочная  таблица'!IH16+'Проверочная  таблица'!HP16</f>
        <v>0</v>
      </c>
      <c r="DI14" s="1397"/>
      <c r="DJ14" s="1397">
        <f t="shared" si="19"/>
        <v>0</v>
      </c>
      <c r="DK14" s="1398"/>
      <c r="DL14" s="103">
        <f>'Проверочная  таблица'!KA16</f>
        <v>0</v>
      </c>
      <c r="DM14" s="1443">
        <f t="shared" si="20"/>
        <v>0</v>
      </c>
      <c r="DN14" s="1425"/>
      <c r="DO14" s="1398"/>
      <c r="DP14" s="103">
        <f>'Проверочная  таблица'!KF16</f>
        <v>0</v>
      </c>
      <c r="DQ14" s="1443">
        <f t="shared" si="21"/>
        <v>0</v>
      </c>
      <c r="DR14" s="1397"/>
      <c r="DS14" s="1398"/>
      <c r="DT14" s="101">
        <f>'Проверочная  таблица'!KC16</f>
        <v>0</v>
      </c>
      <c r="DU14" s="1397"/>
      <c r="DV14" s="1397"/>
      <c r="DW14" s="1398"/>
      <c r="DX14" s="103">
        <f>'Проверочная  таблица'!KH16</f>
        <v>0</v>
      </c>
      <c r="DY14" s="1397"/>
      <c r="DZ14" s="1397"/>
      <c r="EA14" s="1398"/>
      <c r="EB14" s="103">
        <f>'Проверочная  таблица'!KL16</f>
        <v>0</v>
      </c>
      <c r="EC14" s="1397"/>
      <c r="ED14" s="1397"/>
      <c r="EE14" s="1398"/>
      <c r="EF14" s="101">
        <f>'Проверочная  таблица'!KR16</f>
        <v>0</v>
      </c>
      <c r="EG14" s="1397"/>
      <c r="EH14" s="1397"/>
      <c r="EI14" s="1398"/>
      <c r="EJ14" s="101">
        <f>'Проверочная  таблица'!KN16</f>
        <v>0</v>
      </c>
      <c r="EK14" s="1397"/>
      <c r="EL14" s="1397"/>
      <c r="EM14" s="1398"/>
      <c r="EN14" s="101">
        <f>'Проверочная  таблица'!KT16</f>
        <v>0</v>
      </c>
      <c r="EO14" s="1397"/>
      <c r="EP14" s="1397"/>
      <c r="EQ14" s="1398"/>
      <c r="ER14" s="103">
        <f>'Проверочная  таблица'!KX16</f>
        <v>0</v>
      </c>
      <c r="ES14" s="1397"/>
      <c r="ET14" s="1397"/>
      <c r="EU14" s="1398"/>
      <c r="EV14" s="101">
        <f>'Проверочная  таблица'!LB16</f>
        <v>0</v>
      </c>
      <c r="EW14" s="1397"/>
      <c r="EX14" s="1397"/>
      <c r="EY14" s="1397"/>
      <c r="EZ14" s="104">
        <f>'Проверочная  таблица'!LI16+'Проверочная  таблица'!LW16</f>
        <v>0</v>
      </c>
      <c r="FA14" s="1428">
        <f>'Проверочная  таблица'!LI16</f>
        <v>0</v>
      </c>
      <c r="FB14" s="1397"/>
      <c r="FC14" s="1425">
        <f>'Проверочная  таблица'!LW16</f>
        <v>0</v>
      </c>
      <c r="FD14" s="104">
        <f>'Проверочная  таблица'!LP16+'Проверочная  таблица'!MB16</f>
        <v>0</v>
      </c>
      <c r="FE14" s="1428">
        <f>'Проверочная  таблица'!LP16</f>
        <v>0</v>
      </c>
      <c r="FF14" s="1397"/>
      <c r="FG14" s="1425">
        <f>'Проверочная  таблица'!MB16</f>
        <v>0</v>
      </c>
      <c r="FH14" s="104">
        <f>'Проверочная  таблица'!LK16+'Проверочная  таблица'!LY16</f>
        <v>0</v>
      </c>
      <c r="FI14" s="1428">
        <f>'Проверочная  таблица'!LK16</f>
        <v>0</v>
      </c>
      <c r="FJ14" s="1397"/>
      <c r="FK14" s="1425">
        <f>'Проверочная  таблица'!LY16</f>
        <v>0</v>
      </c>
      <c r="FL14" s="104">
        <f>'Проверочная  таблица'!LR16+'Проверочная  таблица'!MD16</f>
        <v>0</v>
      </c>
      <c r="FM14" s="1428">
        <f>'Проверочная  таблица'!LR16</f>
        <v>0</v>
      </c>
      <c r="FN14" s="1397"/>
      <c r="FO14" s="1425">
        <f>'Проверочная  таблица'!MD16</f>
        <v>0</v>
      </c>
      <c r="FP14" s="104">
        <f>'Проверочная  таблица'!LM16</f>
        <v>0</v>
      </c>
      <c r="FQ14" s="1397"/>
      <c r="FR14" s="1397"/>
      <c r="FS14" s="1398"/>
      <c r="FT14" s="101">
        <f>'Проверочная  таблица'!LT16</f>
        <v>0</v>
      </c>
      <c r="FU14" s="1397"/>
      <c r="FV14" s="1397"/>
      <c r="FW14" s="1397"/>
      <c r="FX14" s="104">
        <f>'Проверочная  таблица'!NE16</f>
        <v>0</v>
      </c>
      <c r="FY14" s="1428"/>
      <c r="FZ14" s="1397">
        <f t="shared" si="22"/>
        <v>0</v>
      </c>
      <c r="GA14" s="1398"/>
      <c r="GB14" s="101">
        <f>'Проверочная  таблица'!NH16</f>
        <v>0</v>
      </c>
      <c r="GC14" s="1397"/>
      <c r="GD14" s="1397">
        <f t="shared" si="23"/>
        <v>0</v>
      </c>
      <c r="GE14" s="1398"/>
      <c r="GF14" s="103">
        <f>'Проверочная  таблица'!NW16</f>
        <v>0</v>
      </c>
      <c r="GG14" s="1397"/>
      <c r="GH14" s="1397"/>
      <c r="GI14" s="1398"/>
      <c r="GJ14" s="103">
        <f>'Проверочная  таблица'!NZ16</f>
        <v>0</v>
      </c>
      <c r="GK14" s="1397"/>
      <c r="GL14" s="1397"/>
      <c r="GM14" s="1398"/>
      <c r="GN14" s="101">
        <f>'Проверочная  таблица'!OW16+'Проверочная  таблица'!PM16</f>
        <v>0</v>
      </c>
      <c r="GO14" s="1397"/>
      <c r="GP14" s="1397">
        <f t="shared" si="24"/>
        <v>0</v>
      </c>
      <c r="GQ14" s="1398"/>
      <c r="GR14" s="101">
        <f>'Проверочная  таблица'!PD16+'Проверочная  таблица'!PV16</f>
        <v>0</v>
      </c>
      <c r="GS14" s="1397"/>
      <c r="GT14" s="1397">
        <f t="shared" si="25"/>
        <v>0</v>
      </c>
      <c r="GU14" s="1398"/>
      <c r="GV14" s="103">
        <f>'Проверочная  таблица'!PI16</f>
        <v>29278500</v>
      </c>
      <c r="GW14" s="1428"/>
      <c r="GX14" s="1397">
        <f t="shared" si="26"/>
        <v>29278500</v>
      </c>
      <c r="GY14" s="1398"/>
      <c r="GZ14" s="103">
        <f>'Проверочная  таблица'!PR16</f>
        <v>24268288.16</v>
      </c>
      <c r="HA14" s="1397"/>
      <c r="HB14" s="1397">
        <f t="shared" si="27"/>
        <v>24268288.16</v>
      </c>
      <c r="HC14" s="1398"/>
      <c r="HD14" s="103">
        <f>'Проверочная  таблица'!OU16+'Проверочная  таблица'!PK16</f>
        <v>0</v>
      </c>
      <c r="HE14" s="1428">
        <f>'Проверочная  таблица'!OU16</f>
        <v>0</v>
      </c>
      <c r="HF14" s="1397">
        <f>'Проверочная  таблица'!PK16</f>
        <v>0</v>
      </c>
      <c r="HG14" s="1398"/>
      <c r="HH14" s="103">
        <f>'Проверочная  таблица'!PB16+'Проверочная  таблица'!PT16</f>
        <v>0</v>
      </c>
      <c r="HI14" s="1428">
        <f>'Проверочная  таблица'!PB16</f>
        <v>0</v>
      </c>
      <c r="HJ14" s="1397">
        <f>'Проверочная  таблица'!PT16</f>
        <v>0</v>
      </c>
      <c r="HK14" s="1398"/>
      <c r="HL14" s="103">
        <f>'Проверочная  таблица'!OY16+'Проверочная  таблица'!PO16</f>
        <v>0</v>
      </c>
      <c r="HM14" s="1397">
        <f t="shared" si="28"/>
        <v>0</v>
      </c>
      <c r="HN14" s="1425"/>
      <c r="HO14" s="1398"/>
      <c r="HP14" s="103">
        <f>'Проверочная  таблица'!PF16+'Проверочная  таблица'!PX16</f>
        <v>0</v>
      </c>
      <c r="HQ14" s="1397">
        <f t="shared" si="29"/>
        <v>0</v>
      </c>
      <c r="HR14" s="1397"/>
      <c r="HS14" s="1397"/>
    </row>
    <row r="15" spans="1:227" ht="25.5" customHeight="1" x14ac:dyDescent="0.3">
      <c r="A15" s="102" t="s">
        <v>93</v>
      </c>
      <c r="B15" s="1445">
        <f t="shared" si="13"/>
        <v>0</v>
      </c>
      <c r="C15" s="1445">
        <f t="shared" si="14"/>
        <v>-5.2386894822120667E-10</v>
      </c>
      <c r="D15" s="269">
        <f t="shared" si="15"/>
        <v>12921787.119999999</v>
      </c>
      <c r="E15" s="1420">
        <f t="shared" si="0"/>
        <v>12489787.119999999</v>
      </c>
      <c r="F15" s="1420">
        <f t="shared" si="0"/>
        <v>432000</v>
      </c>
      <c r="G15" s="1420">
        <f t="shared" si="0"/>
        <v>0</v>
      </c>
      <c r="H15" s="269">
        <f t="shared" si="1"/>
        <v>2465329.96</v>
      </c>
      <c r="I15" s="1420">
        <f t="shared" si="2"/>
        <v>2180623.7700000005</v>
      </c>
      <c r="J15" s="1420">
        <f t="shared" si="3"/>
        <v>284706.19</v>
      </c>
      <c r="K15" s="1420">
        <f t="shared" si="4"/>
        <v>0</v>
      </c>
      <c r="L15" s="104">
        <f>'Проверочная  таблица'!DE17+'Проверочная  таблица'!DG17</f>
        <v>0</v>
      </c>
      <c r="M15" s="1428">
        <f>'Проверочная  таблица'!DE17</f>
        <v>0</v>
      </c>
      <c r="N15" s="1397"/>
      <c r="O15" s="1425">
        <f>'Проверочная  таблица'!DG17</f>
        <v>0</v>
      </c>
      <c r="P15" s="104">
        <f>'Проверочная  таблица'!DF17+'Проверочная  таблица'!DH17</f>
        <v>0</v>
      </c>
      <c r="Q15" s="1428">
        <f>'Проверочная  таблица'!DF17</f>
        <v>0</v>
      </c>
      <c r="R15" s="1397"/>
      <c r="S15" s="1425">
        <f>'Проверочная  таблица'!DH17</f>
        <v>0</v>
      </c>
      <c r="T15" s="104">
        <f>'Проверочная  таблица'!DX17</f>
        <v>0</v>
      </c>
      <c r="U15" s="1397">
        <f t="shared" si="5"/>
        <v>0</v>
      </c>
      <c r="V15" s="1397"/>
      <c r="W15" s="1398"/>
      <c r="X15" s="101">
        <f>'Проверочная  таблица'!EF17</f>
        <v>0</v>
      </c>
      <c r="Y15" s="1397">
        <f t="shared" si="6"/>
        <v>0</v>
      </c>
      <c r="Z15" s="1397"/>
      <c r="AA15" s="1397"/>
      <c r="AB15" s="104">
        <f>'Проверочная  таблица'!DZ17</f>
        <v>0</v>
      </c>
      <c r="AC15" s="1397">
        <f t="shared" si="7"/>
        <v>0</v>
      </c>
      <c r="AD15" s="1397"/>
      <c r="AE15" s="1398"/>
      <c r="AF15" s="103">
        <f>'Проверочная  таблица'!EH17</f>
        <v>0</v>
      </c>
      <c r="AG15" s="1397">
        <f t="shared" si="8"/>
        <v>0</v>
      </c>
      <c r="AH15" s="1397"/>
      <c r="AI15" s="1398"/>
      <c r="AJ15" s="103">
        <f>'Проверочная  таблица'!EU17</f>
        <v>0</v>
      </c>
      <c r="AK15" s="1397">
        <f t="shared" si="9"/>
        <v>0</v>
      </c>
      <c r="AL15" s="1397"/>
      <c r="AM15" s="1398"/>
      <c r="AN15" s="101">
        <f>'Проверочная  таблица'!EX17</f>
        <v>0</v>
      </c>
      <c r="AO15" s="1397">
        <f t="shared" si="10"/>
        <v>0</v>
      </c>
      <c r="AP15" s="1397"/>
      <c r="AQ15" s="1398"/>
      <c r="AR15" s="103">
        <f>'Проверочная  таблица'!FG17</f>
        <v>0</v>
      </c>
      <c r="AS15" s="1397">
        <f t="shared" si="11"/>
        <v>0</v>
      </c>
      <c r="AT15" s="1397"/>
      <c r="AU15" s="1398"/>
      <c r="AV15" s="103">
        <f>'Проверочная  таблица'!FL17</f>
        <v>0</v>
      </c>
      <c r="AW15" s="1397">
        <f t="shared" si="12"/>
        <v>0</v>
      </c>
      <c r="AX15" s="1397"/>
      <c r="AY15" s="1398"/>
      <c r="AZ15" s="101">
        <f>'Проверочная  таблица'!FI17</f>
        <v>0</v>
      </c>
      <c r="BA15" s="1397"/>
      <c r="BB15" s="1397"/>
      <c r="BC15" s="1398"/>
      <c r="BD15" s="101">
        <f>'Проверочная  таблица'!FN17</f>
        <v>0</v>
      </c>
      <c r="BE15" s="1397"/>
      <c r="BF15" s="1397"/>
      <c r="BG15" s="1398"/>
      <c r="BH15" s="103">
        <f>'Проверочная  таблица'!FQ17</f>
        <v>0</v>
      </c>
      <c r="BI15" s="1397">
        <f t="shared" si="16"/>
        <v>0</v>
      </c>
      <c r="BJ15" s="1425"/>
      <c r="BK15" s="1398"/>
      <c r="BL15" s="101">
        <f>'Проверочная  таблица'!FT17</f>
        <v>0</v>
      </c>
      <c r="BM15" s="1397">
        <f t="shared" si="17"/>
        <v>0</v>
      </c>
      <c r="BN15" s="1397"/>
      <c r="BO15" s="1398"/>
      <c r="BP15" s="101">
        <f>'Проверочная  таблица'!FW17</f>
        <v>0</v>
      </c>
      <c r="BQ15" s="1397"/>
      <c r="BR15" s="1397"/>
      <c r="BS15" s="1398"/>
      <c r="BT15" s="101">
        <f>'Проверочная  таблица'!FZ17</f>
        <v>0</v>
      </c>
      <c r="BU15" s="1397"/>
      <c r="BV15" s="1397"/>
      <c r="BW15" s="1397"/>
      <c r="BX15" s="104">
        <f>'Проверочная  таблица'!GC17+'Проверочная  таблица'!GI17</f>
        <v>970726.63</v>
      </c>
      <c r="BY15" s="1428">
        <f>'Проверочная  таблица'!GC17</f>
        <v>970726.63</v>
      </c>
      <c r="BZ15" s="1397">
        <f>'Проверочная  таблица'!GO17</f>
        <v>0</v>
      </c>
      <c r="CA15" s="1425">
        <f>'Проверочная  таблица'!GU17</f>
        <v>0</v>
      </c>
      <c r="CB15" s="104">
        <f>'Проверочная  таблица'!GF17+'Проверочная  таблица'!GL17</f>
        <v>907071.55</v>
      </c>
      <c r="CC15" s="1428">
        <f>'Проверочная  таблица'!GF17</f>
        <v>907071.55</v>
      </c>
      <c r="CD15" s="1397">
        <f>'Проверочная  таблица'!GR17</f>
        <v>0</v>
      </c>
      <c r="CE15" s="1425">
        <f>'Проверочная  таблица'!GX17</f>
        <v>0</v>
      </c>
      <c r="CF15" s="104">
        <f>'Проверочная  таблица'!HI17+'Проверочная  таблица'!IA17</f>
        <v>827.29</v>
      </c>
      <c r="CG15" s="1428">
        <f>'Проверочная  таблица'!HI17</f>
        <v>827.29</v>
      </c>
      <c r="CH15" s="1397"/>
      <c r="CI15" s="1425">
        <f>'Проверочная  таблица'!JK17</f>
        <v>0</v>
      </c>
      <c r="CJ15" s="104">
        <f>'Проверочная  таблица'!IJ17+'Проверочная  таблица'!HR17</f>
        <v>827.29</v>
      </c>
      <c r="CK15" s="1428">
        <f>'Проверочная  таблица'!HR17</f>
        <v>827.29</v>
      </c>
      <c r="CL15" s="1397"/>
      <c r="CM15" s="1425">
        <f>'Проверочная  таблица'!JT17</f>
        <v>0</v>
      </c>
      <c r="CN15" s="104">
        <f>'Проверочная  таблица'!HK17+'Проверочная  таблица'!IC17</f>
        <v>0</v>
      </c>
      <c r="CO15" s="1428">
        <f>'Проверочная  таблица'!HK17</f>
        <v>0</v>
      </c>
      <c r="CP15" s="1397">
        <f>'Проверочная  таблица'!IU17</f>
        <v>0</v>
      </c>
      <c r="CQ15" s="1425">
        <f>'Проверочная  таблица'!JM17</f>
        <v>0</v>
      </c>
      <c r="CR15" s="104">
        <f>'Проверочная  таблица'!IL17+'Проверочная  таблица'!HT17</f>
        <v>0</v>
      </c>
      <c r="CS15" s="1428">
        <f>'Проверочная  таблица'!HT17</f>
        <v>0</v>
      </c>
      <c r="CT15" s="1397">
        <f>'Проверочная  таблица'!JD17</f>
        <v>0</v>
      </c>
      <c r="CU15" s="1425">
        <f>'Проверочная  таблица'!JV17</f>
        <v>0</v>
      </c>
      <c r="CV15" s="104">
        <f>'Проверочная  таблица'!HM17+'Проверочная  таблица'!IE17</f>
        <v>0</v>
      </c>
      <c r="CW15" s="1397"/>
      <c r="CX15" s="1397"/>
      <c r="CY15" s="1398"/>
      <c r="CZ15" s="103">
        <f>'Проверочная  таблица'!HV17+'Проверочная  таблица'!IN17</f>
        <v>0</v>
      </c>
      <c r="DA15" s="1397"/>
      <c r="DB15" s="1397"/>
      <c r="DC15" s="1398"/>
      <c r="DD15" s="103">
        <f>'Проверочная  таблица'!HG17+'Проверочная  таблица'!HY17</f>
        <v>0</v>
      </c>
      <c r="DE15" s="1428"/>
      <c r="DF15" s="1397">
        <f t="shared" si="18"/>
        <v>0</v>
      </c>
      <c r="DG15" s="1398"/>
      <c r="DH15" s="101">
        <f>'Проверочная  таблица'!IH17+'Проверочная  таблица'!HP17</f>
        <v>0</v>
      </c>
      <c r="DI15" s="1397"/>
      <c r="DJ15" s="1397">
        <f t="shared" si="19"/>
        <v>0</v>
      </c>
      <c r="DK15" s="1398"/>
      <c r="DL15" s="103">
        <f>'Проверочная  таблица'!KA17</f>
        <v>0</v>
      </c>
      <c r="DM15" s="1443">
        <f t="shared" si="20"/>
        <v>0</v>
      </c>
      <c r="DN15" s="1425"/>
      <c r="DO15" s="1398"/>
      <c r="DP15" s="103">
        <f>'Проверочная  таблица'!KF17</f>
        <v>0</v>
      </c>
      <c r="DQ15" s="1443">
        <f t="shared" si="21"/>
        <v>0</v>
      </c>
      <c r="DR15" s="1397"/>
      <c r="DS15" s="1398"/>
      <c r="DT15" s="101">
        <f>'Проверочная  таблица'!KC17</f>
        <v>0</v>
      </c>
      <c r="DU15" s="1397"/>
      <c r="DV15" s="1397"/>
      <c r="DW15" s="1398"/>
      <c r="DX15" s="103">
        <f>'Проверочная  таблица'!KH17</f>
        <v>0</v>
      </c>
      <c r="DY15" s="1397"/>
      <c r="DZ15" s="1397"/>
      <c r="EA15" s="1398"/>
      <c r="EB15" s="103">
        <f>'Проверочная  таблица'!KL17</f>
        <v>0</v>
      </c>
      <c r="EC15" s="1397"/>
      <c r="ED15" s="1397"/>
      <c r="EE15" s="1398"/>
      <c r="EF15" s="101">
        <f>'Проверочная  таблица'!KR17</f>
        <v>0</v>
      </c>
      <c r="EG15" s="1397"/>
      <c r="EH15" s="1397"/>
      <c r="EI15" s="1398"/>
      <c r="EJ15" s="101">
        <f>'Проверочная  таблица'!KN17</f>
        <v>0</v>
      </c>
      <c r="EK15" s="1397"/>
      <c r="EL15" s="1397"/>
      <c r="EM15" s="1398"/>
      <c r="EN15" s="101">
        <f>'Проверочная  таблица'!KT17</f>
        <v>0</v>
      </c>
      <c r="EO15" s="1397"/>
      <c r="EP15" s="1397"/>
      <c r="EQ15" s="1398"/>
      <c r="ER15" s="103">
        <f>'Проверочная  таблица'!KX17</f>
        <v>0</v>
      </c>
      <c r="ES15" s="1397"/>
      <c r="ET15" s="1397"/>
      <c r="EU15" s="1398"/>
      <c r="EV15" s="101">
        <f>'Проверочная  таблица'!LB17</f>
        <v>0</v>
      </c>
      <c r="EW15" s="1397"/>
      <c r="EX15" s="1397"/>
      <c r="EY15" s="1397"/>
      <c r="EZ15" s="104">
        <f>'Проверочная  таблица'!LI17+'Проверочная  таблица'!LW17</f>
        <v>0</v>
      </c>
      <c r="FA15" s="1428">
        <f>'Проверочная  таблица'!LI17</f>
        <v>0</v>
      </c>
      <c r="FB15" s="1397"/>
      <c r="FC15" s="1425">
        <f>'Проверочная  таблица'!LW17</f>
        <v>0</v>
      </c>
      <c r="FD15" s="104">
        <f>'Проверочная  таблица'!LP17+'Проверочная  таблица'!MB17</f>
        <v>0</v>
      </c>
      <c r="FE15" s="1428">
        <f>'Проверочная  таблица'!LP17</f>
        <v>0</v>
      </c>
      <c r="FF15" s="1397"/>
      <c r="FG15" s="1425">
        <f>'Проверочная  таблица'!MB17</f>
        <v>0</v>
      </c>
      <c r="FH15" s="104">
        <f>'Проверочная  таблица'!LK17+'Проверочная  таблица'!LY17</f>
        <v>0</v>
      </c>
      <c r="FI15" s="1428">
        <f>'Проверочная  таблица'!LK17</f>
        <v>0</v>
      </c>
      <c r="FJ15" s="1397"/>
      <c r="FK15" s="1425">
        <f>'Проверочная  таблица'!LY17</f>
        <v>0</v>
      </c>
      <c r="FL15" s="104">
        <f>'Проверочная  таблица'!LR17+'Проверочная  таблица'!MD17</f>
        <v>0</v>
      </c>
      <c r="FM15" s="1428">
        <f>'Проверочная  таблица'!LR17</f>
        <v>0</v>
      </c>
      <c r="FN15" s="1397"/>
      <c r="FO15" s="1425">
        <f>'Проверочная  таблица'!MD17</f>
        <v>0</v>
      </c>
      <c r="FP15" s="104">
        <f>'Проверочная  таблица'!LM17</f>
        <v>0</v>
      </c>
      <c r="FQ15" s="1397"/>
      <c r="FR15" s="1397"/>
      <c r="FS15" s="1398"/>
      <c r="FT15" s="101">
        <f>'Проверочная  таблица'!LT17</f>
        <v>0</v>
      </c>
      <c r="FU15" s="1397"/>
      <c r="FV15" s="1397"/>
      <c r="FW15" s="1397"/>
      <c r="FX15" s="104">
        <f>'Проверочная  таблица'!NE17</f>
        <v>432000</v>
      </c>
      <c r="FY15" s="1428"/>
      <c r="FZ15" s="1397">
        <f t="shared" si="22"/>
        <v>432000</v>
      </c>
      <c r="GA15" s="1398"/>
      <c r="GB15" s="101">
        <f>'Проверочная  таблица'!NH17</f>
        <v>284706.19</v>
      </c>
      <c r="GC15" s="1397"/>
      <c r="GD15" s="1397">
        <f t="shared" si="23"/>
        <v>284706.19</v>
      </c>
      <c r="GE15" s="1398"/>
      <c r="GF15" s="103">
        <f>'Проверочная  таблица'!NW17</f>
        <v>0</v>
      </c>
      <c r="GG15" s="1397"/>
      <c r="GH15" s="1397"/>
      <c r="GI15" s="1398"/>
      <c r="GJ15" s="103">
        <f>'Проверочная  таблица'!NZ17</f>
        <v>0</v>
      </c>
      <c r="GK15" s="1397"/>
      <c r="GL15" s="1397"/>
      <c r="GM15" s="1398"/>
      <c r="GN15" s="101">
        <f>'Проверочная  таблица'!OW17+'Проверочная  таблица'!PM17</f>
        <v>0</v>
      </c>
      <c r="GO15" s="1397"/>
      <c r="GP15" s="1397">
        <f t="shared" si="24"/>
        <v>0</v>
      </c>
      <c r="GQ15" s="1398"/>
      <c r="GR15" s="101">
        <f>'Проверочная  таблица'!PD17+'Проверочная  таблица'!PV17</f>
        <v>0</v>
      </c>
      <c r="GS15" s="1397"/>
      <c r="GT15" s="1397">
        <f t="shared" si="25"/>
        <v>0</v>
      </c>
      <c r="GU15" s="1398"/>
      <c r="GV15" s="103">
        <f>'Проверочная  таблица'!PI17</f>
        <v>0</v>
      </c>
      <c r="GW15" s="1428"/>
      <c r="GX15" s="1397">
        <f t="shared" si="26"/>
        <v>0</v>
      </c>
      <c r="GY15" s="1398"/>
      <c r="GZ15" s="103">
        <f>'Проверочная  таблица'!PR17</f>
        <v>0</v>
      </c>
      <c r="HA15" s="1397"/>
      <c r="HB15" s="1397">
        <f t="shared" si="27"/>
        <v>0</v>
      </c>
      <c r="HC15" s="1398"/>
      <c r="HD15" s="103">
        <f>'Проверочная  таблица'!OU17+'Проверочная  таблица'!PK17</f>
        <v>0</v>
      </c>
      <c r="HE15" s="1428">
        <f>'Проверочная  таблица'!OU17</f>
        <v>0</v>
      </c>
      <c r="HF15" s="1397">
        <f>'Проверочная  таблица'!PK17</f>
        <v>0</v>
      </c>
      <c r="HG15" s="1398"/>
      <c r="HH15" s="103">
        <f>'Проверочная  таблица'!PB17+'Проверочная  таблица'!PT17</f>
        <v>0</v>
      </c>
      <c r="HI15" s="1428">
        <f>'Проверочная  таблица'!PB17</f>
        <v>0</v>
      </c>
      <c r="HJ15" s="1397">
        <f>'Проверочная  таблица'!PT17</f>
        <v>0</v>
      </c>
      <c r="HK15" s="1398"/>
      <c r="HL15" s="103">
        <f>'Проверочная  таблица'!OY17+'Проверочная  таблица'!PO17</f>
        <v>11518233.199999999</v>
      </c>
      <c r="HM15" s="1397">
        <f t="shared" si="28"/>
        <v>11518233.199999999</v>
      </c>
      <c r="HN15" s="1425"/>
      <c r="HO15" s="1398"/>
      <c r="HP15" s="103">
        <f>'Проверочная  таблица'!PF17+'Проверочная  таблица'!PX17</f>
        <v>1272724.9300000002</v>
      </c>
      <c r="HQ15" s="1397">
        <f t="shared" si="29"/>
        <v>1272724.9300000002</v>
      </c>
      <c r="HR15" s="1397"/>
      <c r="HS15" s="1397"/>
    </row>
    <row r="16" spans="1:227" ht="25.5" customHeight="1" x14ac:dyDescent="0.3">
      <c r="A16" s="105" t="s">
        <v>94</v>
      </c>
      <c r="B16" s="1445">
        <f t="shared" si="13"/>
        <v>0</v>
      </c>
      <c r="C16" s="1445">
        <f t="shared" si="14"/>
        <v>4.6566128730773926E-10</v>
      </c>
      <c r="D16" s="269">
        <f t="shared" si="15"/>
        <v>18777895.550000001</v>
      </c>
      <c r="E16" s="1420">
        <f t="shared" si="0"/>
        <v>3086694.83</v>
      </c>
      <c r="F16" s="1420">
        <f t="shared" si="0"/>
        <v>15691200.720000001</v>
      </c>
      <c r="G16" s="1420">
        <f t="shared" si="0"/>
        <v>0</v>
      </c>
      <c r="H16" s="269">
        <f t="shared" si="1"/>
        <v>4593047.22</v>
      </c>
      <c r="I16" s="1420">
        <f t="shared" si="2"/>
        <v>1607253.9</v>
      </c>
      <c r="J16" s="1420">
        <f t="shared" si="3"/>
        <v>2985793.3199999994</v>
      </c>
      <c r="K16" s="1420">
        <f t="shared" si="4"/>
        <v>0</v>
      </c>
      <c r="L16" s="104">
        <f>'Проверочная  таблица'!DE18+'Проверочная  таблица'!DG18</f>
        <v>2113487.04</v>
      </c>
      <c r="M16" s="1428">
        <f>'Проверочная  таблица'!DE18</f>
        <v>2113487.04</v>
      </c>
      <c r="N16" s="1397"/>
      <c r="O16" s="1425">
        <f>'Проверочная  таблица'!DG18</f>
        <v>0</v>
      </c>
      <c r="P16" s="104">
        <f>'Проверочная  таблица'!DF18+'Проверочная  таблица'!DH18</f>
        <v>634046.11</v>
      </c>
      <c r="Q16" s="1428">
        <f>'Проверочная  таблица'!DF18</f>
        <v>634046.11</v>
      </c>
      <c r="R16" s="1397"/>
      <c r="S16" s="1425">
        <f>'Проверочная  таблица'!DH18</f>
        <v>0</v>
      </c>
      <c r="T16" s="104">
        <f>'Проверочная  таблица'!DX18</f>
        <v>0</v>
      </c>
      <c r="U16" s="1397">
        <f t="shared" si="5"/>
        <v>0</v>
      </c>
      <c r="V16" s="1397"/>
      <c r="W16" s="1398"/>
      <c r="X16" s="101">
        <f>'Проверочная  таблица'!EF18</f>
        <v>0</v>
      </c>
      <c r="Y16" s="1397">
        <f t="shared" si="6"/>
        <v>0</v>
      </c>
      <c r="Z16" s="1397"/>
      <c r="AA16" s="1397"/>
      <c r="AB16" s="104">
        <f>'Проверочная  таблица'!DZ18</f>
        <v>0</v>
      </c>
      <c r="AC16" s="1397">
        <f t="shared" si="7"/>
        <v>0</v>
      </c>
      <c r="AD16" s="1397"/>
      <c r="AE16" s="1398"/>
      <c r="AF16" s="103">
        <f>'Проверочная  таблица'!EH18</f>
        <v>0</v>
      </c>
      <c r="AG16" s="1397">
        <f t="shared" si="8"/>
        <v>0</v>
      </c>
      <c r="AH16" s="1397"/>
      <c r="AI16" s="1398"/>
      <c r="AJ16" s="103">
        <f>'Проверочная  таблица'!EU18</f>
        <v>0</v>
      </c>
      <c r="AK16" s="1397">
        <f t="shared" si="9"/>
        <v>0</v>
      </c>
      <c r="AL16" s="1397"/>
      <c r="AM16" s="1398"/>
      <c r="AN16" s="101">
        <f>'Проверочная  таблица'!EX18</f>
        <v>0</v>
      </c>
      <c r="AO16" s="1397">
        <f t="shared" si="10"/>
        <v>0</v>
      </c>
      <c r="AP16" s="1397"/>
      <c r="AQ16" s="1398"/>
      <c r="AR16" s="103">
        <f>'Проверочная  таблица'!FG18</f>
        <v>0</v>
      </c>
      <c r="AS16" s="1397">
        <f t="shared" si="11"/>
        <v>0</v>
      </c>
      <c r="AT16" s="1397"/>
      <c r="AU16" s="1398"/>
      <c r="AV16" s="103">
        <f>'Проверочная  таблица'!FL18</f>
        <v>0</v>
      </c>
      <c r="AW16" s="1397">
        <f t="shared" si="12"/>
        <v>0</v>
      </c>
      <c r="AX16" s="1397"/>
      <c r="AY16" s="1398"/>
      <c r="AZ16" s="101">
        <f>'Проверочная  таблица'!FI18</f>
        <v>0</v>
      </c>
      <c r="BA16" s="1397"/>
      <c r="BB16" s="1397"/>
      <c r="BC16" s="1398"/>
      <c r="BD16" s="101">
        <f>'Проверочная  таблица'!FN18</f>
        <v>0</v>
      </c>
      <c r="BE16" s="1397"/>
      <c r="BF16" s="1397"/>
      <c r="BG16" s="1398"/>
      <c r="BH16" s="103">
        <f>'Проверочная  таблица'!FQ18</f>
        <v>0</v>
      </c>
      <c r="BI16" s="1397">
        <f t="shared" si="16"/>
        <v>0</v>
      </c>
      <c r="BJ16" s="1425"/>
      <c r="BK16" s="1398"/>
      <c r="BL16" s="101">
        <f>'Проверочная  таблица'!FT18</f>
        <v>0</v>
      </c>
      <c r="BM16" s="1397">
        <f t="shared" si="17"/>
        <v>0</v>
      </c>
      <c r="BN16" s="1397"/>
      <c r="BO16" s="1398"/>
      <c r="BP16" s="101">
        <f>'Проверочная  таблица'!FW18</f>
        <v>0</v>
      </c>
      <c r="BQ16" s="1397"/>
      <c r="BR16" s="1397"/>
      <c r="BS16" s="1398"/>
      <c r="BT16" s="101">
        <f>'Проверочная  таблица'!FZ18</f>
        <v>0</v>
      </c>
      <c r="BU16" s="1397"/>
      <c r="BV16" s="1397"/>
      <c r="BW16" s="1397"/>
      <c r="BX16" s="104">
        <f>'Проверочная  таблица'!GC18+'Проверочная  таблица'!GI18</f>
        <v>970725.91</v>
      </c>
      <c r="BY16" s="1428">
        <f>'Проверочная  таблица'!GC18</f>
        <v>970725.91</v>
      </c>
      <c r="BZ16" s="1397">
        <f>'Проверочная  таблица'!GO18</f>
        <v>0</v>
      </c>
      <c r="CA16" s="1425">
        <f>'Проверочная  таблица'!GU18</f>
        <v>0</v>
      </c>
      <c r="CB16" s="104">
        <f>'Проверочная  таблица'!GF18+'Проверочная  таблица'!GL18</f>
        <v>970725.91</v>
      </c>
      <c r="CC16" s="1428">
        <f>'Проверочная  таблица'!GF18</f>
        <v>970725.91</v>
      </c>
      <c r="CD16" s="1397">
        <f>'Проверочная  таблица'!GR18</f>
        <v>0</v>
      </c>
      <c r="CE16" s="1425">
        <f>'Проверочная  таблица'!GX18</f>
        <v>0</v>
      </c>
      <c r="CF16" s="104">
        <f>'Проверочная  таблица'!HI18+'Проверочная  таблица'!IA18</f>
        <v>2481.8799999999997</v>
      </c>
      <c r="CG16" s="1428">
        <f>'Проверочная  таблица'!HI18</f>
        <v>2481.8799999999997</v>
      </c>
      <c r="CH16" s="1397"/>
      <c r="CI16" s="1425">
        <f>'Проверочная  таблица'!JK18</f>
        <v>0</v>
      </c>
      <c r="CJ16" s="104">
        <f>'Проверочная  таблица'!IJ18+'Проверочная  таблица'!HR18</f>
        <v>2481.8799999999997</v>
      </c>
      <c r="CK16" s="1428">
        <f>'Проверочная  таблица'!HR18</f>
        <v>2481.8799999999997</v>
      </c>
      <c r="CL16" s="1397"/>
      <c r="CM16" s="1425">
        <f>'Проверочная  таблица'!JT18</f>
        <v>0</v>
      </c>
      <c r="CN16" s="104">
        <f>'Проверочная  таблица'!HK18+'Проверочная  таблица'!IC18</f>
        <v>0</v>
      </c>
      <c r="CO16" s="1428">
        <f>'Проверочная  таблица'!HK18</f>
        <v>0</v>
      </c>
      <c r="CP16" s="1397">
        <f>'Проверочная  таблица'!IU18</f>
        <v>0</v>
      </c>
      <c r="CQ16" s="1425">
        <f>'Проверочная  таблица'!JM18</f>
        <v>0</v>
      </c>
      <c r="CR16" s="104">
        <f>'Проверочная  таблица'!IL18+'Проверочная  таблица'!HT18</f>
        <v>0</v>
      </c>
      <c r="CS16" s="1428">
        <f>'Проверочная  таблица'!HT18</f>
        <v>0</v>
      </c>
      <c r="CT16" s="1397">
        <f>'Проверочная  таблица'!JD18</f>
        <v>0</v>
      </c>
      <c r="CU16" s="1425">
        <f>'Проверочная  таблица'!JV18</f>
        <v>0</v>
      </c>
      <c r="CV16" s="104">
        <f>'Проверочная  таблица'!HM18+'Проверочная  таблица'!IE18</f>
        <v>0</v>
      </c>
      <c r="CW16" s="1397"/>
      <c r="CX16" s="1397"/>
      <c r="CY16" s="1398"/>
      <c r="CZ16" s="103">
        <f>'Проверочная  таблица'!HV18+'Проверочная  таблица'!IN18</f>
        <v>0</v>
      </c>
      <c r="DA16" s="1397"/>
      <c r="DB16" s="1397"/>
      <c r="DC16" s="1398"/>
      <c r="DD16" s="103">
        <f>'Проверочная  таблица'!HG18+'Проверочная  таблица'!HY18</f>
        <v>14819600</v>
      </c>
      <c r="DE16" s="1428"/>
      <c r="DF16" s="1397">
        <f t="shared" si="18"/>
        <v>14819600</v>
      </c>
      <c r="DG16" s="1398"/>
      <c r="DH16" s="101">
        <f>'Проверочная  таблица'!IH18+'Проверочная  таблица'!HP18</f>
        <v>2258912.5999999996</v>
      </c>
      <c r="DI16" s="1397"/>
      <c r="DJ16" s="1397">
        <f t="shared" si="19"/>
        <v>2258912.5999999996</v>
      </c>
      <c r="DK16" s="1398"/>
      <c r="DL16" s="103">
        <f>'Проверочная  таблица'!KA18</f>
        <v>0</v>
      </c>
      <c r="DM16" s="1443">
        <f t="shared" si="20"/>
        <v>0</v>
      </c>
      <c r="DN16" s="1425"/>
      <c r="DO16" s="1398"/>
      <c r="DP16" s="103">
        <f>'Проверочная  таблица'!KF18</f>
        <v>0</v>
      </c>
      <c r="DQ16" s="1443">
        <f t="shared" si="21"/>
        <v>0</v>
      </c>
      <c r="DR16" s="1397"/>
      <c r="DS16" s="1398"/>
      <c r="DT16" s="101">
        <f>'Проверочная  таблица'!KC18</f>
        <v>0</v>
      </c>
      <c r="DU16" s="1397"/>
      <c r="DV16" s="1397"/>
      <c r="DW16" s="1398"/>
      <c r="DX16" s="103">
        <f>'Проверочная  таблица'!KH18</f>
        <v>0</v>
      </c>
      <c r="DY16" s="1397"/>
      <c r="DZ16" s="1397"/>
      <c r="EA16" s="1398"/>
      <c r="EB16" s="103">
        <f>'Проверочная  таблица'!KL18</f>
        <v>0</v>
      </c>
      <c r="EC16" s="1397"/>
      <c r="ED16" s="1397"/>
      <c r="EE16" s="1398"/>
      <c r="EF16" s="101">
        <f>'Проверочная  таблица'!KR18</f>
        <v>0</v>
      </c>
      <c r="EG16" s="1397"/>
      <c r="EH16" s="1397"/>
      <c r="EI16" s="1398"/>
      <c r="EJ16" s="101">
        <f>'Проверочная  таблица'!KN18</f>
        <v>0</v>
      </c>
      <c r="EK16" s="1397"/>
      <c r="EL16" s="1397"/>
      <c r="EM16" s="1398"/>
      <c r="EN16" s="101">
        <f>'Проверочная  таблица'!KT18</f>
        <v>0</v>
      </c>
      <c r="EO16" s="1397"/>
      <c r="EP16" s="1397"/>
      <c r="EQ16" s="1398"/>
      <c r="ER16" s="103">
        <f>'Проверочная  таблица'!KX18</f>
        <v>0</v>
      </c>
      <c r="ES16" s="1397"/>
      <c r="ET16" s="1397"/>
      <c r="EU16" s="1398"/>
      <c r="EV16" s="101">
        <f>'Проверочная  таблица'!LB18</f>
        <v>0</v>
      </c>
      <c r="EW16" s="1397"/>
      <c r="EX16" s="1397"/>
      <c r="EY16" s="1397"/>
      <c r="EZ16" s="104">
        <f>'Проверочная  таблица'!LI18+'Проверочная  таблица'!LW18</f>
        <v>0</v>
      </c>
      <c r="FA16" s="1428">
        <f>'Проверочная  таблица'!LI18</f>
        <v>0</v>
      </c>
      <c r="FB16" s="1397"/>
      <c r="FC16" s="1425">
        <f>'Проверочная  таблица'!LW18</f>
        <v>0</v>
      </c>
      <c r="FD16" s="104">
        <f>'Проверочная  таблица'!LP18+'Проверочная  таблица'!MB18</f>
        <v>0</v>
      </c>
      <c r="FE16" s="1428">
        <f>'Проверочная  таблица'!LP18</f>
        <v>0</v>
      </c>
      <c r="FF16" s="1397"/>
      <c r="FG16" s="1425">
        <f>'Проверочная  таблица'!MB18</f>
        <v>0</v>
      </c>
      <c r="FH16" s="104">
        <f>'Проверочная  таблица'!LK18+'Проверочная  таблица'!LY18</f>
        <v>0</v>
      </c>
      <c r="FI16" s="1428">
        <f>'Проверочная  таблица'!LK18</f>
        <v>0</v>
      </c>
      <c r="FJ16" s="1397"/>
      <c r="FK16" s="1425">
        <f>'Проверочная  таблица'!LY18</f>
        <v>0</v>
      </c>
      <c r="FL16" s="104">
        <f>'Проверочная  таблица'!LR18+'Проверочная  таблица'!MD18</f>
        <v>0</v>
      </c>
      <c r="FM16" s="1428">
        <f>'Проверочная  таблица'!LR18</f>
        <v>0</v>
      </c>
      <c r="FN16" s="1397"/>
      <c r="FO16" s="1425">
        <f>'Проверочная  таблица'!MD18</f>
        <v>0</v>
      </c>
      <c r="FP16" s="104">
        <f>'Проверочная  таблица'!LM18</f>
        <v>0</v>
      </c>
      <c r="FQ16" s="1397"/>
      <c r="FR16" s="1397"/>
      <c r="FS16" s="1398"/>
      <c r="FT16" s="101">
        <f>'Проверочная  таблица'!LT18</f>
        <v>0</v>
      </c>
      <c r="FU16" s="1397"/>
      <c r="FV16" s="1397"/>
      <c r="FW16" s="1397"/>
      <c r="FX16" s="104">
        <f>'Проверочная  таблица'!NE18</f>
        <v>871600.72</v>
      </c>
      <c r="FY16" s="1428"/>
      <c r="FZ16" s="1397">
        <f t="shared" si="22"/>
        <v>871600.72</v>
      </c>
      <c r="GA16" s="1398"/>
      <c r="GB16" s="101">
        <f>'Проверочная  таблица'!NH18</f>
        <v>726880.72</v>
      </c>
      <c r="GC16" s="1397"/>
      <c r="GD16" s="1397">
        <f t="shared" si="23"/>
        <v>726880.72</v>
      </c>
      <c r="GE16" s="1398"/>
      <c r="GF16" s="103">
        <f>'Проверочная  таблица'!NW18</f>
        <v>0</v>
      </c>
      <c r="GG16" s="1397"/>
      <c r="GH16" s="1397"/>
      <c r="GI16" s="1398"/>
      <c r="GJ16" s="103">
        <f>'Проверочная  таблица'!NZ18</f>
        <v>0</v>
      </c>
      <c r="GK16" s="1397"/>
      <c r="GL16" s="1397"/>
      <c r="GM16" s="1398"/>
      <c r="GN16" s="101">
        <f>'Проверочная  таблица'!OW18+'Проверочная  таблица'!PM18</f>
        <v>0</v>
      </c>
      <c r="GO16" s="1397"/>
      <c r="GP16" s="1397">
        <f t="shared" si="24"/>
        <v>0</v>
      </c>
      <c r="GQ16" s="1398"/>
      <c r="GR16" s="101">
        <f>'Проверочная  таблица'!PD18+'Проверочная  таблица'!PV18</f>
        <v>0</v>
      </c>
      <c r="GS16" s="1397"/>
      <c r="GT16" s="1397">
        <f t="shared" si="25"/>
        <v>0</v>
      </c>
      <c r="GU16" s="1398"/>
      <c r="GV16" s="103">
        <f>'Проверочная  таблица'!PI18</f>
        <v>0</v>
      </c>
      <c r="GW16" s="1428"/>
      <c r="GX16" s="1397">
        <f t="shared" si="26"/>
        <v>0</v>
      </c>
      <c r="GY16" s="1398"/>
      <c r="GZ16" s="103">
        <f>'Проверочная  таблица'!PR18</f>
        <v>0</v>
      </c>
      <c r="HA16" s="1397"/>
      <c r="HB16" s="1397">
        <f t="shared" si="27"/>
        <v>0</v>
      </c>
      <c r="HC16" s="1398"/>
      <c r="HD16" s="103">
        <f>'Проверочная  таблица'!OU18+'Проверочная  таблица'!PK18</f>
        <v>0</v>
      </c>
      <c r="HE16" s="1428">
        <f>'Проверочная  таблица'!OU18</f>
        <v>0</v>
      </c>
      <c r="HF16" s="1397">
        <f>'Проверочная  таблица'!PK18</f>
        <v>0</v>
      </c>
      <c r="HG16" s="1398"/>
      <c r="HH16" s="103">
        <f>'Проверочная  таблица'!PB18+'Проверочная  таблица'!PT18</f>
        <v>0</v>
      </c>
      <c r="HI16" s="1428">
        <f>'Проверочная  таблица'!PB18</f>
        <v>0</v>
      </c>
      <c r="HJ16" s="1397">
        <f>'Проверочная  таблица'!PT18</f>
        <v>0</v>
      </c>
      <c r="HK16" s="1398"/>
      <c r="HL16" s="103">
        <f>'Проверочная  таблица'!OY18+'Проверочная  таблица'!PO18</f>
        <v>0</v>
      </c>
      <c r="HM16" s="1397">
        <f t="shared" si="28"/>
        <v>0</v>
      </c>
      <c r="HN16" s="1425"/>
      <c r="HO16" s="1398"/>
      <c r="HP16" s="103">
        <f>'Проверочная  таблица'!PF18+'Проверочная  таблица'!PX18</f>
        <v>0</v>
      </c>
      <c r="HQ16" s="1397">
        <f t="shared" si="29"/>
        <v>0</v>
      </c>
      <c r="HR16" s="1397"/>
      <c r="HS16" s="1397"/>
    </row>
    <row r="17" spans="1:227" ht="25.5" customHeight="1" x14ac:dyDescent="0.3">
      <c r="A17" s="102" t="s">
        <v>95</v>
      </c>
      <c r="B17" s="1445">
        <f t="shared" si="13"/>
        <v>0</v>
      </c>
      <c r="C17" s="1445">
        <f t="shared" si="14"/>
        <v>0</v>
      </c>
      <c r="D17" s="269">
        <f t="shared" si="15"/>
        <v>14116574.579999998</v>
      </c>
      <c r="E17" s="1420">
        <f t="shared" si="0"/>
        <v>1261303.49</v>
      </c>
      <c r="F17" s="1420">
        <f t="shared" si="0"/>
        <v>0</v>
      </c>
      <c r="G17" s="1420">
        <f t="shared" si="0"/>
        <v>12855271.09</v>
      </c>
      <c r="H17" s="269">
        <f t="shared" si="1"/>
        <v>1088270.8799999999</v>
      </c>
      <c r="I17" s="1420">
        <f t="shared" si="2"/>
        <v>107999.79</v>
      </c>
      <c r="J17" s="1420">
        <f t="shared" si="3"/>
        <v>0</v>
      </c>
      <c r="K17" s="1420">
        <f t="shared" si="4"/>
        <v>980271.09000000008</v>
      </c>
      <c r="L17" s="104">
        <f>'Проверочная  таблица'!DE19+'Проверочная  таблица'!DG19</f>
        <v>0</v>
      </c>
      <c r="M17" s="1428">
        <f>'Проверочная  таблица'!DE19</f>
        <v>0</v>
      </c>
      <c r="N17" s="1397"/>
      <c r="O17" s="1425">
        <f>'Проверочная  таблица'!DG19</f>
        <v>0</v>
      </c>
      <c r="P17" s="104">
        <f>'Проверочная  таблица'!DF19+'Проверочная  таблица'!DH19</f>
        <v>0</v>
      </c>
      <c r="Q17" s="1428">
        <f>'Проверочная  таблица'!DF19</f>
        <v>0</v>
      </c>
      <c r="R17" s="1397"/>
      <c r="S17" s="1425">
        <f>'Проверочная  таблица'!DH19</f>
        <v>0</v>
      </c>
      <c r="T17" s="104">
        <f>'Проверочная  таблица'!DX19</f>
        <v>0</v>
      </c>
      <c r="U17" s="1397">
        <f t="shared" si="5"/>
        <v>0</v>
      </c>
      <c r="V17" s="1397"/>
      <c r="W17" s="1398"/>
      <c r="X17" s="101">
        <f>'Проверочная  таблица'!EF19</f>
        <v>0</v>
      </c>
      <c r="Y17" s="1397">
        <f t="shared" si="6"/>
        <v>0</v>
      </c>
      <c r="Z17" s="1397"/>
      <c r="AA17" s="1397"/>
      <c r="AB17" s="104">
        <f>'Проверочная  таблица'!DZ19</f>
        <v>0</v>
      </c>
      <c r="AC17" s="1397">
        <f t="shared" si="7"/>
        <v>0</v>
      </c>
      <c r="AD17" s="1397"/>
      <c r="AE17" s="1398"/>
      <c r="AF17" s="103">
        <f>'Проверочная  таблица'!EH19</f>
        <v>0</v>
      </c>
      <c r="AG17" s="1397">
        <f t="shared" si="8"/>
        <v>0</v>
      </c>
      <c r="AH17" s="1397"/>
      <c r="AI17" s="1398"/>
      <c r="AJ17" s="103">
        <f>'Проверочная  таблица'!EU19</f>
        <v>0</v>
      </c>
      <c r="AK17" s="1397">
        <f t="shared" si="9"/>
        <v>0</v>
      </c>
      <c r="AL17" s="1397"/>
      <c r="AM17" s="1398"/>
      <c r="AN17" s="101">
        <f>'Проверочная  таблица'!EX19</f>
        <v>0</v>
      </c>
      <c r="AO17" s="1397">
        <f t="shared" si="10"/>
        <v>0</v>
      </c>
      <c r="AP17" s="1397"/>
      <c r="AQ17" s="1398"/>
      <c r="AR17" s="103">
        <f>'Проверочная  таблица'!FG19</f>
        <v>0</v>
      </c>
      <c r="AS17" s="1397">
        <f t="shared" si="11"/>
        <v>0</v>
      </c>
      <c r="AT17" s="1397"/>
      <c r="AU17" s="1398"/>
      <c r="AV17" s="103">
        <f>'Проверочная  таблица'!FL19</f>
        <v>0</v>
      </c>
      <c r="AW17" s="1397">
        <f t="shared" si="12"/>
        <v>0</v>
      </c>
      <c r="AX17" s="1397"/>
      <c r="AY17" s="1398"/>
      <c r="AZ17" s="101">
        <f>'Проверочная  таблица'!FI19</f>
        <v>0</v>
      </c>
      <c r="BA17" s="1397"/>
      <c r="BB17" s="1397"/>
      <c r="BC17" s="1398"/>
      <c r="BD17" s="101">
        <f>'Проверочная  таблица'!FN19</f>
        <v>0</v>
      </c>
      <c r="BE17" s="1397"/>
      <c r="BF17" s="1397"/>
      <c r="BG17" s="1398"/>
      <c r="BH17" s="103">
        <f>'Проверочная  таблица'!FQ19</f>
        <v>0</v>
      </c>
      <c r="BI17" s="1397">
        <f t="shared" si="16"/>
        <v>0</v>
      </c>
      <c r="BJ17" s="1425"/>
      <c r="BK17" s="1398"/>
      <c r="BL17" s="101">
        <f>'Проверочная  таблица'!FT19</f>
        <v>0</v>
      </c>
      <c r="BM17" s="1397">
        <f t="shared" si="17"/>
        <v>0</v>
      </c>
      <c r="BN17" s="1397"/>
      <c r="BO17" s="1398"/>
      <c r="BP17" s="101">
        <f>'Проверочная  таблица'!FW19</f>
        <v>0</v>
      </c>
      <c r="BQ17" s="1397"/>
      <c r="BR17" s="1397"/>
      <c r="BS17" s="1398"/>
      <c r="BT17" s="101">
        <f>'Проверочная  таблица'!FZ19</f>
        <v>0</v>
      </c>
      <c r="BU17" s="1397"/>
      <c r="BV17" s="1397"/>
      <c r="BW17" s="1397"/>
      <c r="BX17" s="104">
        <f>'Проверочная  таблица'!GC19+'Проверочная  таблица'!GI19</f>
        <v>1079997.93</v>
      </c>
      <c r="BY17" s="1428">
        <f>'Проверочная  таблица'!GC19</f>
        <v>107999.79</v>
      </c>
      <c r="BZ17" s="1397">
        <f>'Проверочная  таблица'!GO19</f>
        <v>0</v>
      </c>
      <c r="CA17" s="1425">
        <f>'Проверочная  таблица'!GU19</f>
        <v>971998.14</v>
      </c>
      <c r="CB17" s="104">
        <f>'Проверочная  таблица'!GF19+'Проверочная  таблица'!GL19</f>
        <v>1079997.93</v>
      </c>
      <c r="CC17" s="1428">
        <f>'Проверочная  таблица'!GF19</f>
        <v>107999.79</v>
      </c>
      <c r="CD17" s="1397">
        <f>'Проверочная  таблица'!GR19</f>
        <v>0</v>
      </c>
      <c r="CE17" s="1425">
        <f>'Проверочная  таблица'!GX19</f>
        <v>971998.14000000013</v>
      </c>
      <c r="CF17" s="104">
        <f>'Проверочная  таблица'!HI19+'Проверочная  таблица'!IA19</f>
        <v>8272.9499999999989</v>
      </c>
      <c r="CG17" s="1428">
        <f>'Проверочная  таблица'!HI19</f>
        <v>0</v>
      </c>
      <c r="CH17" s="1397"/>
      <c r="CI17" s="1425">
        <f>'Проверочная  таблица'!JK19</f>
        <v>8272.9499999999989</v>
      </c>
      <c r="CJ17" s="104">
        <f>'Проверочная  таблица'!IJ19+'Проверочная  таблица'!HR19</f>
        <v>8272.9499999999989</v>
      </c>
      <c r="CK17" s="1428">
        <f>'Проверочная  таблица'!HR19</f>
        <v>0</v>
      </c>
      <c r="CL17" s="1397"/>
      <c r="CM17" s="1425">
        <f>'Проверочная  таблица'!JT19</f>
        <v>8272.9499999999989</v>
      </c>
      <c r="CN17" s="104">
        <f>'Проверочная  таблица'!HK19+'Проверочная  таблица'!IC19</f>
        <v>0</v>
      </c>
      <c r="CO17" s="1428">
        <f>'Проверочная  таблица'!HK19</f>
        <v>0</v>
      </c>
      <c r="CP17" s="1397">
        <f>'Проверочная  таблица'!IU19</f>
        <v>0</v>
      </c>
      <c r="CQ17" s="1425">
        <f>'Проверочная  таблица'!JM19</f>
        <v>0</v>
      </c>
      <c r="CR17" s="104">
        <f>'Проверочная  таблица'!IL19+'Проверочная  таблица'!HT19</f>
        <v>0</v>
      </c>
      <c r="CS17" s="1428">
        <f>'Проверочная  таблица'!HT19</f>
        <v>0</v>
      </c>
      <c r="CT17" s="1397">
        <f>'Проверочная  таблица'!JD19</f>
        <v>0</v>
      </c>
      <c r="CU17" s="1425">
        <f>'Проверочная  таблица'!JV19</f>
        <v>0</v>
      </c>
      <c r="CV17" s="104">
        <f>'Проверочная  таблица'!HM19+'Проверочная  таблица'!IE19</f>
        <v>0</v>
      </c>
      <c r="CW17" s="1397"/>
      <c r="CX17" s="1397"/>
      <c r="CY17" s="1398"/>
      <c r="CZ17" s="103">
        <f>'Проверочная  таблица'!HV19+'Проверочная  таблица'!IN19</f>
        <v>0</v>
      </c>
      <c r="DA17" s="1397"/>
      <c r="DB17" s="1397"/>
      <c r="DC17" s="1398"/>
      <c r="DD17" s="103">
        <f>'Проверочная  таблица'!HG19+'Проверочная  таблица'!HY19</f>
        <v>0</v>
      </c>
      <c r="DE17" s="1428"/>
      <c r="DF17" s="1397">
        <f t="shared" si="18"/>
        <v>0</v>
      </c>
      <c r="DG17" s="1398"/>
      <c r="DH17" s="101">
        <f>'Проверочная  таблица'!IH19+'Проверочная  таблица'!HP19</f>
        <v>0</v>
      </c>
      <c r="DI17" s="1397"/>
      <c r="DJ17" s="1397">
        <f t="shared" si="19"/>
        <v>0</v>
      </c>
      <c r="DK17" s="1398"/>
      <c r="DL17" s="103">
        <f>'Проверочная  таблица'!KA19</f>
        <v>0</v>
      </c>
      <c r="DM17" s="1443">
        <f t="shared" si="20"/>
        <v>0</v>
      </c>
      <c r="DN17" s="1425"/>
      <c r="DO17" s="1398"/>
      <c r="DP17" s="103">
        <f>'Проверочная  таблица'!KF19</f>
        <v>0</v>
      </c>
      <c r="DQ17" s="1443">
        <f t="shared" si="21"/>
        <v>0</v>
      </c>
      <c r="DR17" s="1397"/>
      <c r="DS17" s="1398"/>
      <c r="DT17" s="101">
        <f>'Проверочная  таблица'!KC19</f>
        <v>0</v>
      </c>
      <c r="DU17" s="1397"/>
      <c r="DV17" s="1397"/>
      <c r="DW17" s="1398"/>
      <c r="DX17" s="103">
        <f>'Проверочная  таблица'!KH19</f>
        <v>0</v>
      </c>
      <c r="DY17" s="1397"/>
      <c r="DZ17" s="1397"/>
      <c r="EA17" s="1398"/>
      <c r="EB17" s="103">
        <f>'Проверочная  таблица'!KL19</f>
        <v>0</v>
      </c>
      <c r="EC17" s="1397"/>
      <c r="ED17" s="1397"/>
      <c r="EE17" s="1398"/>
      <c r="EF17" s="101">
        <f>'Проверочная  таблица'!KR19</f>
        <v>0</v>
      </c>
      <c r="EG17" s="1397"/>
      <c r="EH17" s="1397"/>
      <c r="EI17" s="1398"/>
      <c r="EJ17" s="101">
        <f>'Проверочная  таблица'!KN19</f>
        <v>0</v>
      </c>
      <c r="EK17" s="1397"/>
      <c r="EL17" s="1397"/>
      <c r="EM17" s="1398"/>
      <c r="EN17" s="101">
        <f>'Проверочная  таблица'!KT19</f>
        <v>0</v>
      </c>
      <c r="EO17" s="1397"/>
      <c r="EP17" s="1397"/>
      <c r="EQ17" s="1398"/>
      <c r="ER17" s="103">
        <f>'Проверочная  таблица'!KX19</f>
        <v>0</v>
      </c>
      <c r="ES17" s="1397"/>
      <c r="ET17" s="1397"/>
      <c r="EU17" s="1398"/>
      <c r="EV17" s="101">
        <f>'Проверочная  таблица'!LB19</f>
        <v>0</v>
      </c>
      <c r="EW17" s="1397"/>
      <c r="EX17" s="1397"/>
      <c r="EY17" s="1397"/>
      <c r="EZ17" s="104">
        <f>'Проверочная  таблица'!LI19+'Проверочная  таблица'!LW19</f>
        <v>4275000</v>
      </c>
      <c r="FA17" s="1428">
        <f>'Проверочная  таблица'!LI19</f>
        <v>0</v>
      </c>
      <c r="FB17" s="1397"/>
      <c r="FC17" s="1425">
        <f>'Проверочная  таблица'!LW19</f>
        <v>4275000</v>
      </c>
      <c r="FD17" s="104">
        <f>'Проверочная  таблица'!LP19+'Проверочная  таблица'!MB19</f>
        <v>0</v>
      </c>
      <c r="FE17" s="1428">
        <f>'Проверочная  таблица'!LP19</f>
        <v>0</v>
      </c>
      <c r="FF17" s="1397"/>
      <c r="FG17" s="1425">
        <f>'Проверочная  таблица'!MB19</f>
        <v>0</v>
      </c>
      <c r="FH17" s="104">
        <f>'Проверочная  таблица'!LK19+'Проверочная  таблица'!LY19</f>
        <v>7600000</v>
      </c>
      <c r="FI17" s="1428">
        <f>'Проверочная  таблица'!LK19</f>
        <v>0</v>
      </c>
      <c r="FJ17" s="1397"/>
      <c r="FK17" s="1425">
        <f>'Проверочная  таблица'!LY19</f>
        <v>7600000</v>
      </c>
      <c r="FL17" s="104">
        <f>'Проверочная  таблица'!LR19+'Проверочная  таблица'!MD19</f>
        <v>0</v>
      </c>
      <c r="FM17" s="1428">
        <f>'Проверочная  таблица'!LR19</f>
        <v>0</v>
      </c>
      <c r="FN17" s="1397"/>
      <c r="FO17" s="1425">
        <f>'Проверочная  таблица'!MD19</f>
        <v>0</v>
      </c>
      <c r="FP17" s="104">
        <f>'Проверочная  таблица'!LM19</f>
        <v>0</v>
      </c>
      <c r="FQ17" s="1397"/>
      <c r="FR17" s="1397"/>
      <c r="FS17" s="1398"/>
      <c r="FT17" s="101">
        <f>'Проверочная  таблица'!LT19</f>
        <v>0</v>
      </c>
      <c r="FU17" s="1397"/>
      <c r="FV17" s="1397"/>
      <c r="FW17" s="1397"/>
      <c r="FX17" s="104">
        <f>'Проверочная  таблица'!NE19</f>
        <v>0</v>
      </c>
      <c r="FY17" s="1428"/>
      <c r="FZ17" s="1397">
        <f t="shared" si="22"/>
        <v>0</v>
      </c>
      <c r="GA17" s="1398"/>
      <c r="GB17" s="101">
        <f>'Проверочная  таблица'!NH19</f>
        <v>0</v>
      </c>
      <c r="GC17" s="1397"/>
      <c r="GD17" s="1397">
        <f t="shared" si="23"/>
        <v>0</v>
      </c>
      <c r="GE17" s="1398"/>
      <c r="GF17" s="103">
        <f>'Проверочная  таблица'!NW19</f>
        <v>0</v>
      </c>
      <c r="GG17" s="1397"/>
      <c r="GH17" s="1397"/>
      <c r="GI17" s="1398"/>
      <c r="GJ17" s="103">
        <f>'Проверочная  таблица'!NZ19</f>
        <v>0</v>
      </c>
      <c r="GK17" s="1397"/>
      <c r="GL17" s="1397"/>
      <c r="GM17" s="1398"/>
      <c r="GN17" s="101">
        <f>'Проверочная  таблица'!OW19+'Проверочная  таблица'!PM19</f>
        <v>0</v>
      </c>
      <c r="GO17" s="1397"/>
      <c r="GP17" s="1397">
        <f t="shared" si="24"/>
        <v>0</v>
      </c>
      <c r="GQ17" s="1398"/>
      <c r="GR17" s="101">
        <f>'Проверочная  таблица'!PD19+'Проверочная  таблица'!PV19</f>
        <v>0</v>
      </c>
      <c r="GS17" s="1397"/>
      <c r="GT17" s="1397">
        <f t="shared" si="25"/>
        <v>0</v>
      </c>
      <c r="GU17" s="1398"/>
      <c r="GV17" s="103">
        <f>'Проверочная  таблица'!PI19</f>
        <v>0</v>
      </c>
      <c r="GW17" s="1428"/>
      <c r="GX17" s="1397">
        <f t="shared" si="26"/>
        <v>0</v>
      </c>
      <c r="GY17" s="1398"/>
      <c r="GZ17" s="103">
        <f>'Проверочная  таблица'!PR19</f>
        <v>0</v>
      </c>
      <c r="HA17" s="1397"/>
      <c r="HB17" s="1397">
        <f t="shared" si="27"/>
        <v>0</v>
      </c>
      <c r="HC17" s="1398"/>
      <c r="HD17" s="103">
        <f>'Проверочная  таблица'!OU19+'Проверочная  таблица'!PK19</f>
        <v>1153303.7</v>
      </c>
      <c r="HE17" s="1428">
        <f>'Проверочная  таблица'!OU19</f>
        <v>1153303.7</v>
      </c>
      <c r="HF17" s="1397">
        <f>'Проверочная  таблица'!PK19</f>
        <v>0</v>
      </c>
      <c r="HG17" s="1398"/>
      <c r="HH17" s="103">
        <f>'Проверочная  таблица'!PB19+'Проверочная  таблица'!PT19</f>
        <v>0</v>
      </c>
      <c r="HI17" s="1428">
        <f>'Проверочная  таблица'!PB19</f>
        <v>0</v>
      </c>
      <c r="HJ17" s="1397">
        <f>'Проверочная  таблица'!PT19</f>
        <v>0</v>
      </c>
      <c r="HK17" s="1398"/>
      <c r="HL17" s="103">
        <f>'Проверочная  таблица'!OY19+'Проверочная  таблица'!PO19</f>
        <v>0</v>
      </c>
      <c r="HM17" s="1397">
        <f t="shared" si="28"/>
        <v>0</v>
      </c>
      <c r="HN17" s="1425"/>
      <c r="HO17" s="1398"/>
      <c r="HP17" s="103">
        <f>'Проверочная  таблица'!PF19+'Проверочная  таблица'!PX19</f>
        <v>0</v>
      </c>
      <c r="HQ17" s="1397">
        <f t="shared" si="29"/>
        <v>0</v>
      </c>
      <c r="HR17" s="1397"/>
      <c r="HS17" s="1397"/>
    </row>
    <row r="18" spans="1:227" ht="25.5" customHeight="1" x14ac:dyDescent="0.3">
      <c r="A18" s="105" t="s">
        <v>96</v>
      </c>
      <c r="B18" s="1445">
        <f t="shared" si="13"/>
        <v>0</v>
      </c>
      <c r="C18" s="1445">
        <f t="shared" si="14"/>
        <v>0</v>
      </c>
      <c r="D18" s="269">
        <f t="shared" si="15"/>
        <v>3888690</v>
      </c>
      <c r="E18" s="1420">
        <f t="shared" si="0"/>
        <v>3888690</v>
      </c>
      <c r="F18" s="1420">
        <f t="shared" si="0"/>
        <v>0</v>
      </c>
      <c r="G18" s="1420">
        <f t="shared" si="0"/>
        <v>0</v>
      </c>
      <c r="H18" s="269">
        <f t="shared" si="1"/>
        <v>3888690</v>
      </c>
      <c r="I18" s="1420">
        <f t="shared" si="2"/>
        <v>3888690</v>
      </c>
      <c r="J18" s="1420">
        <f t="shared" si="3"/>
        <v>0</v>
      </c>
      <c r="K18" s="1420">
        <f t="shared" si="4"/>
        <v>0</v>
      </c>
      <c r="L18" s="104">
        <f>'Проверочная  таблица'!DE20+'Проверочная  таблица'!DG20</f>
        <v>0</v>
      </c>
      <c r="M18" s="1428">
        <f>'Проверочная  таблица'!DE20</f>
        <v>0</v>
      </c>
      <c r="N18" s="1397"/>
      <c r="O18" s="1425">
        <f>'Проверочная  таблица'!DG20</f>
        <v>0</v>
      </c>
      <c r="P18" s="104">
        <f>'Проверочная  таблица'!DF20+'Проверочная  таблица'!DH20</f>
        <v>0</v>
      </c>
      <c r="Q18" s="1428">
        <f>'Проверочная  таблица'!DF20</f>
        <v>0</v>
      </c>
      <c r="R18" s="1397"/>
      <c r="S18" s="1425">
        <f>'Проверочная  таблица'!DH20</f>
        <v>0</v>
      </c>
      <c r="T18" s="104">
        <f>'Проверочная  таблица'!DX20</f>
        <v>0</v>
      </c>
      <c r="U18" s="1397">
        <f t="shared" si="5"/>
        <v>0</v>
      </c>
      <c r="V18" s="1397"/>
      <c r="W18" s="1398"/>
      <c r="X18" s="101">
        <f>'Проверочная  таблица'!EF20</f>
        <v>0</v>
      </c>
      <c r="Y18" s="1397">
        <f t="shared" si="6"/>
        <v>0</v>
      </c>
      <c r="Z18" s="1397"/>
      <c r="AA18" s="1397"/>
      <c r="AB18" s="104">
        <f>'Проверочная  таблица'!DZ20</f>
        <v>0</v>
      </c>
      <c r="AC18" s="1397">
        <f t="shared" si="7"/>
        <v>0</v>
      </c>
      <c r="AD18" s="1397"/>
      <c r="AE18" s="1398"/>
      <c r="AF18" s="103">
        <f>'Проверочная  таблица'!EH20</f>
        <v>0</v>
      </c>
      <c r="AG18" s="1397">
        <f t="shared" si="8"/>
        <v>0</v>
      </c>
      <c r="AH18" s="1397"/>
      <c r="AI18" s="1398"/>
      <c r="AJ18" s="103">
        <f>'Проверочная  таблица'!EU20</f>
        <v>0</v>
      </c>
      <c r="AK18" s="1397">
        <f t="shared" si="9"/>
        <v>0</v>
      </c>
      <c r="AL18" s="1397"/>
      <c r="AM18" s="1398"/>
      <c r="AN18" s="101">
        <f>'Проверочная  таблица'!EX20</f>
        <v>0</v>
      </c>
      <c r="AO18" s="1397">
        <f t="shared" si="10"/>
        <v>0</v>
      </c>
      <c r="AP18" s="1397"/>
      <c r="AQ18" s="1398"/>
      <c r="AR18" s="103">
        <f>'Проверочная  таблица'!FG20</f>
        <v>2721180</v>
      </c>
      <c r="AS18" s="1397">
        <f t="shared" si="11"/>
        <v>2721180</v>
      </c>
      <c r="AT18" s="1397"/>
      <c r="AU18" s="1398"/>
      <c r="AV18" s="103">
        <f>'Проверочная  таблица'!FL20</f>
        <v>2721180</v>
      </c>
      <c r="AW18" s="1397">
        <f t="shared" si="12"/>
        <v>2721180</v>
      </c>
      <c r="AX18" s="1397"/>
      <c r="AY18" s="1398"/>
      <c r="AZ18" s="101">
        <f>'Проверочная  таблица'!FI20</f>
        <v>0</v>
      </c>
      <c r="BA18" s="1397"/>
      <c r="BB18" s="1397"/>
      <c r="BC18" s="1398"/>
      <c r="BD18" s="101">
        <f>'Проверочная  таблица'!FN20</f>
        <v>0</v>
      </c>
      <c r="BE18" s="1397"/>
      <c r="BF18" s="1397"/>
      <c r="BG18" s="1398"/>
      <c r="BH18" s="103">
        <f>'Проверочная  таблица'!FQ20</f>
        <v>0</v>
      </c>
      <c r="BI18" s="1397">
        <f t="shared" si="16"/>
        <v>0</v>
      </c>
      <c r="BJ18" s="1425"/>
      <c r="BK18" s="1398"/>
      <c r="BL18" s="101">
        <f>'Проверочная  таблица'!FT20</f>
        <v>0</v>
      </c>
      <c r="BM18" s="1397">
        <f t="shared" si="17"/>
        <v>0</v>
      </c>
      <c r="BN18" s="1397"/>
      <c r="BO18" s="1398"/>
      <c r="BP18" s="101">
        <f>'Проверочная  таблица'!FW20</f>
        <v>0</v>
      </c>
      <c r="BQ18" s="1397"/>
      <c r="BR18" s="1397"/>
      <c r="BS18" s="1398"/>
      <c r="BT18" s="101">
        <f>'Проверочная  таблица'!FZ20</f>
        <v>0</v>
      </c>
      <c r="BU18" s="1397"/>
      <c r="BV18" s="1397"/>
      <c r="BW18" s="1397"/>
      <c r="BX18" s="104">
        <f>'Проверочная  таблица'!GC20+'Проверочная  таблица'!GI20</f>
        <v>970725.91</v>
      </c>
      <c r="BY18" s="1428">
        <f>'Проверочная  таблица'!GC20</f>
        <v>970725.91</v>
      </c>
      <c r="BZ18" s="1397">
        <f>'Проверочная  таблица'!GO20</f>
        <v>0</v>
      </c>
      <c r="CA18" s="1425">
        <f>'Проверочная  таблица'!GU20</f>
        <v>0</v>
      </c>
      <c r="CB18" s="104">
        <f>'Проверочная  таблица'!GF20+'Проверочная  таблица'!GL20</f>
        <v>970725.91</v>
      </c>
      <c r="CC18" s="1428">
        <f>'Проверочная  таблица'!GF20</f>
        <v>970725.91</v>
      </c>
      <c r="CD18" s="1397">
        <f>'Проверочная  таблица'!GR20</f>
        <v>0</v>
      </c>
      <c r="CE18" s="1425">
        <f>'Проверочная  таблица'!GX20</f>
        <v>0</v>
      </c>
      <c r="CF18" s="104">
        <f>'Проверочная  таблица'!HI20+'Проверочная  таблица'!IA20</f>
        <v>41364.730000000003</v>
      </c>
      <c r="CG18" s="1428">
        <f>'Проверочная  таблица'!HI20</f>
        <v>41364.730000000003</v>
      </c>
      <c r="CH18" s="1397"/>
      <c r="CI18" s="1425">
        <f>'Проверочная  таблица'!JK20</f>
        <v>0</v>
      </c>
      <c r="CJ18" s="104">
        <f>'Проверочная  таблица'!IJ20+'Проверочная  таблица'!HR20</f>
        <v>41364.730000000003</v>
      </c>
      <c r="CK18" s="1428">
        <f>'Проверочная  таблица'!HR20</f>
        <v>41364.730000000003</v>
      </c>
      <c r="CL18" s="1397"/>
      <c r="CM18" s="1425">
        <f>'Проверочная  таблица'!JT20</f>
        <v>0</v>
      </c>
      <c r="CN18" s="104">
        <f>'Проверочная  таблица'!HK20+'Проверочная  таблица'!IC20</f>
        <v>155419.35999999999</v>
      </c>
      <c r="CO18" s="1428">
        <f>'Проверочная  таблица'!HK20</f>
        <v>155419.35999999999</v>
      </c>
      <c r="CP18" s="1397">
        <f>'Проверочная  таблица'!IU20</f>
        <v>0</v>
      </c>
      <c r="CQ18" s="1425">
        <f>'Проверочная  таблица'!JM20</f>
        <v>0</v>
      </c>
      <c r="CR18" s="104">
        <f>'Проверочная  таблица'!IL20+'Проверочная  таблица'!HT20</f>
        <v>155419.35999999999</v>
      </c>
      <c r="CS18" s="1428">
        <f>'Проверочная  таблица'!HT20</f>
        <v>155419.35999999999</v>
      </c>
      <c r="CT18" s="1397">
        <f>'Проверочная  таблица'!JD20</f>
        <v>0</v>
      </c>
      <c r="CU18" s="1425">
        <f>'Проверочная  таблица'!JV20</f>
        <v>0</v>
      </c>
      <c r="CV18" s="104">
        <f>'Проверочная  таблица'!HM20+'Проверочная  таблица'!IE20</f>
        <v>0</v>
      </c>
      <c r="CW18" s="1397"/>
      <c r="CX18" s="1397"/>
      <c r="CY18" s="1398"/>
      <c r="CZ18" s="103">
        <f>'Проверочная  таблица'!HV20+'Проверочная  таблица'!IN20</f>
        <v>0</v>
      </c>
      <c r="DA18" s="1397"/>
      <c r="DB18" s="1397"/>
      <c r="DC18" s="1398"/>
      <c r="DD18" s="103">
        <f>'Проверочная  таблица'!HG20+'Проверочная  таблица'!HY20</f>
        <v>0</v>
      </c>
      <c r="DE18" s="1428"/>
      <c r="DF18" s="1397">
        <f t="shared" si="18"/>
        <v>0</v>
      </c>
      <c r="DG18" s="1398"/>
      <c r="DH18" s="101">
        <f>'Проверочная  таблица'!IH20+'Проверочная  таблица'!HP20</f>
        <v>0</v>
      </c>
      <c r="DI18" s="1397"/>
      <c r="DJ18" s="1397">
        <f t="shared" si="19"/>
        <v>0</v>
      </c>
      <c r="DK18" s="1398"/>
      <c r="DL18" s="103">
        <f>'Проверочная  таблица'!KA20</f>
        <v>0</v>
      </c>
      <c r="DM18" s="1443">
        <f t="shared" si="20"/>
        <v>0</v>
      </c>
      <c r="DN18" s="1425"/>
      <c r="DO18" s="1398"/>
      <c r="DP18" s="103">
        <f>'Проверочная  таблица'!KF20</f>
        <v>0</v>
      </c>
      <c r="DQ18" s="1443">
        <f t="shared" si="21"/>
        <v>0</v>
      </c>
      <c r="DR18" s="1397"/>
      <c r="DS18" s="1398"/>
      <c r="DT18" s="101">
        <f>'Проверочная  таблица'!KC20</f>
        <v>0</v>
      </c>
      <c r="DU18" s="1397"/>
      <c r="DV18" s="1397"/>
      <c r="DW18" s="1398"/>
      <c r="DX18" s="103">
        <f>'Проверочная  таблица'!KH20</f>
        <v>0</v>
      </c>
      <c r="DY18" s="1397"/>
      <c r="DZ18" s="1397"/>
      <c r="EA18" s="1398"/>
      <c r="EB18" s="103">
        <f>'Проверочная  таблица'!KL20</f>
        <v>0</v>
      </c>
      <c r="EC18" s="1397"/>
      <c r="ED18" s="1397"/>
      <c r="EE18" s="1398"/>
      <c r="EF18" s="101">
        <f>'Проверочная  таблица'!KR20</f>
        <v>0</v>
      </c>
      <c r="EG18" s="1397"/>
      <c r="EH18" s="1397"/>
      <c r="EI18" s="1398"/>
      <c r="EJ18" s="101">
        <f>'Проверочная  таблица'!KN20</f>
        <v>0</v>
      </c>
      <c r="EK18" s="1397"/>
      <c r="EL18" s="1397"/>
      <c r="EM18" s="1398"/>
      <c r="EN18" s="101">
        <f>'Проверочная  таблица'!KT20</f>
        <v>0</v>
      </c>
      <c r="EO18" s="1397"/>
      <c r="EP18" s="1397"/>
      <c r="EQ18" s="1398"/>
      <c r="ER18" s="103">
        <f>'Проверочная  таблица'!KX20</f>
        <v>0</v>
      </c>
      <c r="ES18" s="1397"/>
      <c r="ET18" s="1397"/>
      <c r="EU18" s="1398"/>
      <c r="EV18" s="101">
        <f>'Проверочная  таблица'!LB20</f>
        <v>0</v>
      </c>
      <c r="EW18" s="1397"/>
      <c r="EX18" s="1397"/>
      <c r="EY18" s="1397"/>
      <c r="EZ18" s="104">
        <f>'Проверочная  таблица'!LI20+'Проверочная  таблица'!LW20</f>
        <v>0</v>
      </c>
      <c r="FA18" s="1428">
        <f>'Проверочная  таблица'!LI20</f>
        <v>0</v>
      </c>
      <c r="FB18" s="1397"/>
      <c r="FC18" s="1425">
        <f>'Проверочная  таблица'!LW20</f>
        <v>0</v>
      </c>
      <c r="FD18" s="104">
        <f>'Проверочная  таблица'!LP20+'Проверочная  таблица'!MB20</f>
        <v>0</v>
      </c>
      <c r="FE18" s="1428">
        <f>'Проверочная  таблица'!LP20</f>
        <v>0</v>
      </c>
      <c r="FF18" s="1397"/>
      <c r="FG18" s="1425">
        <f>'Проверочная  таблица'!MB20</f>
        <v>0</v>
      </c>
      <c r="FH18" s="104">
        <f>'Проверочная  таблица'!LK20+'Проверочная  таблица'!LY20</f>
        <v>0</v>
      </c>
      <c r="FI18" s="1428">
        <f>'Проверочная  таблица'!LK20</f>
        <v>0</v>
      </c>
      <c r="FJ18" s="1397"/>
      <c r="FK18" s="1425">
        <f>'Проверочная  таблица'!LY20</f>
        <v>0</v>
      </c>
      <c r="FL18" s="104">
        <f>'Проверочная  таблица'!LR20+'Проверочная  таблица'!MD20</f>
        <v>0</v>
      </c>
      <c r="FM18" s="1428">
        <f>'Проверочная  таблица'!LR20</f>
        <v>0</v>
      </c>
      <c r="FN18" s="1397"/>
      <c r="FO18" s="1425">
        <f>'Проверочная  таблица'!MD20</f>
        <v>0</v>
      </c>
      <c r="FP18" s="104">
        <f>'Проверочная  таблица'!LM20</f>
        <v>0</v>
      </c>
      <c r="FQ18" s="1397"/>
      <c r="FR18" s="1397"/>
      <c r="FS18" s="1398"/>
      <c r="FT18" s="101">
        <f>'Проверочная  таблица'!LT20</f>
        <v>0</v>
      </c>
      <c r="FU18" s="1397"/>
      <c r="FV18" s="1397"/>
      <c r="FW18" s="1397"/>
      <c r="FX18" s="104">
        <f>'Проверочная  таблица'!NE20</f>
        <v>0</v>
      </c>
      <c r="FY18" s="1428"/>
      <c r="FZ18" s="1397">
        <f t="shared" si="22"/>
        <v>0</v>
      </c>
      <c r="GA18" s="1398"/>
      <c r="GB18" s="101">
        <f>'Проверочная  таблица'!NH20</f>
        <v>0</v>
      </c>
      <c r="GC18" s="1397"/>
      <c r="GD18" s="1397">
        <f t="shared" si="23"/>
        <v>0</v>
      </c>
      <c r="GE18" s="1398"/>
      <c r="GF18" s="103">
        <f>'Проверочная  таблица'!NW20</f>
        <v>0</v>
      </c>
      <c r="GG18" s="1397"/>
      <c r="GH18" s="1397"/>
      <c r="GI18" s="1398"/>
      <c r="GJ18" s="103">
        <f>'Проверочная  таблица'!NZ20</f>
        <v>0</v>
      </c>
      <c r="GK18" s="1397"/>
      <c r="GL18" s="1397"/>
      <c r="GM18" s="1398"/>
      <c r="GN18" s="101">
        <f>'Проверочная  таблица'!OW20+'Проверочная  таблица'!PM20</f>
        <v>0</v>
      </c>
      <c r="GO18" s="1397"/>
      <c r="GP18" s="1397">
        <f t="shared" si="24"/>
        <v>0</v>
      </c>
      <c r="GQ18" s="1398"/>
      <c r="GR18" s="101">
        <f>'Проверочная  таблица'!PD20+'Проверочная  таблица'!PV20</f>
        <v>0</v>
      </c>
      <c r="GS18" s="1397"/>
      <c r="GT18" s="1397">
        <f t="shared" si="25"/>
        <v>0</v>
      </c>
      <c r="GU18" s="1398"/>
      <c r="GV18" s="103">
        <f>'Проверочная  таблица'!PI20</f>
        <v>0</v>
      </c>
      <c r="GW18" s="1428"/>
      <c r="GX18" s="1397">
        <f t="shared" si="26"/>
        <v>0</v>
      </c>
      <c r="GY18" s="1398"/>
      <c r="GZ18" s="103">
        <f>'Проверочная  таблица'!PR20</f>
        <v>0</v>
      </c>
      <c r="HA18" s="1397"/>
      <c r="HB18" s="1397">
        <f t="shared" si="27"/>
        <v>0</v>
      </c>
      <c r="HC18" s="1398"/>
      <c r="HD18" s="103">
        <f>'Проверочная  таблица'!OU20+'Проверочная  таблица'!PK20</f>
        <v>0</v>
      </c>
      <c r="HE18" s="1428">
        <f>'Проверочная  таблица'!OU20</f>
        <v>0</v>
      </c>
      <c r="HF18" s="1397">
        <f>'Проверочная  таблица'!PK20</f>
        <v>0</v>
      </c>
      <c r="HG18" s="1398"/>
      <c r="HH18" s="103">
        <f>'Проверочная  таблица'!PB20+'Проверочная  таблица'!PT20</f>
        <v>0</v>
      </c>
      <c r="HI18" s="1428">
        <f>'Проверочная  таблица'!PB20</f>
        <v>0</v>
      </c>
      <c r="HJ18" s="1397">
        <f>'Проверочная  таблица'!PT20</f>
        <v>0</v>
      </c>
      <c r="HK18" s="1398"/>
      <c r="HL18" s="103">
        <f>'Проверочная  таблица'!OY20+'Проверочная  таблица'!PO20</f>
        <v>0</v>
      </c>
      <c r="HM18" s="1397">
        <f t="shared" si="28"/>
        <v>0</v>
      </c>
      <c r="HN18" s="1425"/>
      <c r="HO18" s="1398"/>
      <c r="HP18" s="103">
        <f>'Проверочная  таблица'!PF20+'Проверочная  таблица'!PX20</f>
        <v>0</v>
      </c>
      <c r="HQ18" s="1397">
        <f t="shared" si="29"/>
        <v>0</v>
      </c>
      <c r="HR18" s="1397"/>
      <c r="HS18" s="1397"/>
    </row>
    <row r="19" spans="1:227" ht="25.5" customHeight="1" x14ac:dyDescent="0.3">
      <c r="A19" s="102" t="s">
        <v>97</v>
      </c>
      <c r="B19" s="1445">
        <f t="shared" si="13"/>
        <v>0</v>
      </c>
      <c r="C19" s="1445">
        <f t="shared" si="14"/>
        <v>0</v>
      </c>
      <c r="D19" s="269">
        <f t="shared" si="15"/>
        <v>3692733.91</v>
      </c>
      <c r="E19" s="1420">
        <f t="shared" si="0"/>
        <v>3442005.91</v>
      </c>
      <c r="F19" s="1420">
        <f t="shared" si="0"/>
        <v>250728</v>
      </c>
      <c r="G19" s="1420">
        <f t="shared" si="0"/>
        <v>0</v>
      </c>
      <c r="H19" s="269">
        <f t="shared" si="1"/>
        <v>971553.91</v>
      </c>
      <c r="I19" s="1420">
        <f t="shared" si="2"/>
        <v>720825.91</v>
      </c>
      <c r="J19" s="1420">
        <f t="shared" si="3"/>
        <v>250728</v>
      </c>
      <c r="K19" s="1420">
        <f t="shared" si="4"/>
        <v>0</v>
      </c>
      <c r="L19" s="104">
        <f>'Проверочная  таблица'!DE21+'Проверочная  таблица'!DG21</f>
        <v>0</v>
      </c>
      <c r="M19" s="1428">
        <f>'Проверочная  таблица'!DE21</f>
        <v>0</v>
      </c>
      <c r="N19" s="1397"/>
      <c r="O19" s="1425">
        <f>'Проверочная  таблица'!DG21</f>
        <v>0</v>
      </c>
      <c r="P19" s="104">
        <f>'Проверочная  таблица'!DF21+'Проверочная  таблица'!DH21</f>
        <v>0</v>
      </c>
      <c r="Q19" s="1428">
        <f>'Проверочная  таблица'!DF21</f>
        <v>0</v>
      </c>
      <c r="R19" s="1397"/>
      <c r="S19" s="1425">
        <f>'Проверочная  таблица'!DH21</f>
        <v>0</v>
      </c>
      <c r="T19" s="104">
        <f>'Проверочная  таблица'!DX21</f>
        <v>0</v>
      </c>
      <c r="U19" s="1397">
        <f t="shared" si="5"/>
        <v>0</v>
      </c>
      <c r="V19" s="1397"/>
      <c r="W19" s="1398"/>
      <c r="X19" s="101">
        <f>'Проверочная  таблица'!EF21</f>
        <v>0</v>
      </c>
      <c r="Y19" s="1397">
        <f t="shared" si="6"/>
        <v>0</v>
      </c>
      <c r="Z19" s="1397"/>
      <c r="AA19" s="1397"/>
      <c r="AB19" s="104">
        <f>'Проверочная  таблица'!DZ21</f>
        <v>0</v>
      </c>
      <c r="AC19" s="1397">
        <f t="shared" si="7"/>
        <v>0</v>
      </c>
      <c r="AD19" s="1397"/>
      <c r="AE19" s="1398"/>
      <c r="AF19" s="103">
        <f>'Проверочная  таблица'!EH21</f>
        <v>0</v>
      </c>
      <c r="AG19" s="1397">
        <f t="shared" si="8"/>
        <v>0</v>
      </c>
      <c r="AH19" s="1397"/>
      <c r="AI19" s="1398"/>
      <c r="AJ19" s="103">
        <f>'Проверочная  таблица'!EU21</f>
        <v>0</v>
      </c>
      <c r="AK19" s="1397">
        <f t="shared" si="9"/>
        <v>0</v>
      </c>
      <c r="AL19" s="1397"/>
      <c r="AM19" s="1398"/>
      <c r="AN19" s="101">
        <f>'Проверочная  таблица'!EX21</f>
        <v>0</v>
      </c>
      <c r="AO19" s="1397">
        <f t="shared" si="10"/>
        <v>0</v>
      </c>
      <c r="AP19" s="1397"/>
      <c r="AQ19" s="1398"/>
      <c r="AR19" s="103">
        <f>'Проверочная  таблица'!FG21</f>
        <v>2721180</v>
      </c>
      <c r="AS19" s="1397">
        <f t="shared" si="11"/>
        <v>2721180</v>
      </c>
      <c r="AT19" s="1397"/>
      <c r="AU19" s="1398"/>
      <c r="AV19" s="103">
        <f>'Проверочная  таблица'!FL21</f>
        <v>0</v>
      </c>
      <c r="AW19" s="1397">
        <f t="shared" si="12"/>
        <v>0</v>
      </c>
      <c r="AX19" s="1397"/>
      <c r="AY19" s="1398"/>
      <c r="AZ19" s="101">
        <f>'Проверочная  таблица'!FI21</f>
        <v>0</v>
      </c>
      <c r="BA19" s="1397"/>
      <c r="BB19" s="1397"/>
      <c r="BC19" s="1398"/>
      <c r="BD19" s="101">
        <f>'Проверочная  таблица'!FN21</f>
        <v>0</v>
      </c>
      <c r="BE19" s="1397"/>
      <c r="BF19" s="1397"/>
      <c r="BG19" s="1398"/>
      <c r="BH19" s="103">
        <f>'Проверочная  таблица'!FQ21</f>
        <v>0</v>
      </c>
      <c r="BI19" s="1397">
        <f t="shared" si="16"/>
        <v>0</v>
      </c>
      <c r="BJ19" s="1425"/>
      <c r="BK19" s="1398"/>
      <c r="BL19" s="101">
        <f>'Проверочная  таблица'!FT21</f>
        <v>0</v>
      </c>
      <c r="BM19" s="1397">
        <f t="shared" si="17"/>
        <v>0</v>
      </c>
      <c r="BN19" s="1397"/>
      <c r="BO19" s="1398"/>
      <c r="BP19" s="101">
        <f>'Проверочная  таблица'!FW21</f>
        <v>0</v>
      </c>
      <c r="BQ19" s="1397"/>
      <c r="BR19" s="1397"/>
      <c r="BS19" s="1398"/>
      <c r="BT19" s="101">
        <f>'Проверочная  таблица'!FZ21</f>
        <v>0</v>
      </c>
      <c r="BU19" s="1397"/>
      <c r="BV19" s="1397"/>
      <c r="BW19" s="1397"/>
      <c r="BX19" s="104">
        <f>'Проверочная  таблица'!GC21+'Проверочная  таблица'!GI21</f>
        <v>970726.62</v>
      </c>
      <c r="BY19" s="1428">
        <f>'Проверочная  таблица'!GC21</f>
        <v>719998.62</v>
      </c>
      <c r="BZ19" s="1397">
        <f>'Проверочная  таблица'!GO21</f>
        <v>250728</v>
      </c>
      <c r="CA19" s="1425">
        <f>'Проверочная  таблица'!GU21</f>
        <v>0</v>
      </c>
      <c r="CB19" s="104">
        <f>'Проверочная  таблица'!GF21+'Проверочная  таблица'!GL21</f>
        <v>970726.62</v>
      </c>
      <c r="CC19" s="1428">
        <f>'Проверочная  таблица'!GF21</f>
        <v>719998.62</v>
      </c>
      <c r="CD19" s="1397">
        <f>'Проверочная  таблица'!GR21</f>
        <v>250728</v>
      </c>
      <c r="CE19" s="1425">
        <f>'Проверочная  таблица'!GX21</f>
        <v>0</v>
      </c>
      <c r="CF19" s="104">
        <f>'Проверочная  таблица'!HI21+'Проверочная  таблица'!IA21</f>
        <v>827.29</v>
      </c>
      <c r="CG19" s="1428">
        <f>'Проверочная  таблица'!HI21</f>
        <v>827.29</v>
      </c>
      <c r="CH19" s="1397"/>
      <c r="CI19" s="1425">
        <f>'Проверочная  таблица'!JK21</f>
        <v>0</v>
      </c>
      <c r="CJ19" s="104">
        <f>'Проверочная  таблица'!IJ21+'Проверочная  таблица'!HR21</f>
        <v>827.29</v>
      </c>
      <c r="CK19" s="1428">
        <f>'Проверочная  таблица'!HR21</f>
        <v>827.29</v>
      </c>
      <c r="CL19" s="1397"/>
      <c r="CM19" s="1425">
        <f>'Проверочная  таблица'!JT21</f>
        <v>0</v>
      </c>
      <c r="CN19" s="104">
        <f>'Проверочная  таблица'!HK21+'Проверочная  таблица'!IC21</f>
        <v>0</v>
      </c>
      <c r="CO19" s="1428">
        <f>'Проверочная  таблица'!HK21</f>
        <v>0</v>
      </c>
      <c r="CP19" s="1397">
        <f>'Проверочная  таблица'!IU21</f>
        <v>0</v>
      </c>
      <c r="CQ19" s="1425">
        <f>'Проверочная  таблица'!JM21</f>
        <v>0</v>
      </c>
      <c r="CR19" s="104">
        <f>'Проверочная  таблица'!IL21+'Проверочная  таблица'!HT21</f>
        <v>0</v>
      </c>
      <c r="CS19" s="1428">
        <f>'Проверочная  таблица'!HT21</f>
        <v>0</v>
      </c>
      <c r="CT19" s="1397">
        <f>'Проверочная  таблица'!JD21</f>
        <v>0</v>
      </c>
      <c r="CU19" s="1425">
        <f>'Проверочная  таблица'!JV21</f>
        <v>0</v>
      </c>
      <c r="CV19" s="104">
        <f>'Проверочная  таблица'!HM21+'Проверочная  таблица'!IE21</f>
        <v>0</v>
      </c>
      <c r="CW19" s="1397"/>
      <c r="CX19" s="1397"/>
      <c r="CY19" s="1398"/>
      <c r="CZ19" s="103">
        <f>'Проверочная  таблица'!HV21+'Проверочная  таблица'!IN21</f>
        <v>0</v>
      </c>
      <c r="DA19" s="1397"/>
      <c r="DB19" s="1397"/>
      <c r="DC19" s="1398"/>
      <c r="DD19" s="103">
        <f>'Проверочная  таблица'!HG21+'Проверочная  таблица'!HY21</f>
        <v>0</v>
      </c>
      <c r="DE19" s="1428"/>
      <c r="DF19" s="1397">
        <f t="shared" si="18"/>
        <v>0</v>
      </c>
      <c r="DG19" s="1398"/>
      <c r="DH19" s="101">
        <f>'Проверочная  таблица'!IH21+'Проверочная  таблица'!HP21</f>
        <v>0</v>
      </c>
      <c r="DI19" s="1397"/>
      <c r="DJ19" s="1397">
        <f t="shared" si="19"/>
        <v>0</v>
      </c>
      <c r="DK19" s="1398"/>
      <c r="DL19" s="103">
        <f>'Проверочная  таблица'!KA21</f>
        <v>0</v>
      </c>
      <c r="DM19" s="1443">
        <f t="shared" si="20"/>
        <v>0</v>
      </c>
      <c r="DN19" s="1425"/>
      <c r="DO19" s="1398"/>
      <c r="DP19" s="103">
        <f>'Проверочная  таблица'!KF21</f>
        <v>0</v>
      </c>
      <c r="DQ19" s="1443">
        <f t="shared" si="21"/>
        <v>0</v>
      </c>
      <c r="DR19" s="1397"/>
      <c r="DS19" s="1398"/>
      <c r="DT19" s="101">
        <f>'Проверочная  таблица'!KC21</f>
        <v>0</v>
      </c>
      <c r="DU19" s="1397"/>
      <c r="DV19" s="1397"/>
      <c r="DW19" s="1398"/>
      <c r="DX19" s="103">
        <f>'Проверочная  таблица'!KH21</f>
        <v>0</v>
      </c>
      <c r="DY19" s="1397"/>
      <c r="DZ19" s="1397"/>
      <c r="EA19" s="1398"/>
      <c r="EB19" s="103">
        <f>'Проверочная  таблица'!KL21</f>
        <v>0</v>
      </c>
      <c r="EC19" s="1397"/>
      <c r="ED19" s="1397"/>
      <c r="EE19" s="1398"/>
      <c r="EF19" s="101">
        <f>'Проверочная  таблица'!KR21</f>
        <v>0</v>
      </c>
      <c r="EG19" s="1397"/>
      <c r="EH19" s="1397"/>
      <c r="EI19" s="1398"/>
      <c r="EJ19" s="101">
        <f>'Проверочная  таблица'!KN21</f>
        <v>0</v>
      </c>
      <c r="EK19" s="1397"/>
      <c r="EL19" s="1397"/>
      <c r="EM19" s="1398"/>
      <c r="EN19" s="101">
        <f>'Проверочная  таблица'!KT21</f>
        <v>0</v>
      </c>
      <c r="EO19" s="1397"/>
      <c r="EP19" s="1397"/>
      <c r="EQ19" s="1398"/>
      <c r="ER19" s="103">
        <f>'Проверочная  таблица'!KX21</f>
        <v>0</v>
      </c>
      <c r="ES19" s="1397"/>
      <c r="ET19" s="1397"/>
      <c r="EU19" s="1398"/>
      <c r="EV19" s="101">
        <f>'Проверочная  таблица'!LB21</f>
        <v>0</v>
      </c>
      <c r="EW19" s="1397"/>
      <c r="EX19" s="1397"/>
      <c r="EY19" s="1397"/>
      <c r="EZ19" s="104">
        <f>'Проверочная  таблица'!LI21+'Проверочная  таблица'!LW21</f>
        <v>0</v>
      </c>
      <c r="FA19" s="1428">
        <f>'Проверочная  таблица'!LI21</f>
        <v>0</v>
      </c>
      <c r="FB19" s="1397"/>
      <c r="FC19" s="1425">
        <f>'Проверочная  таблица'!LW21</f>
        <v>0</v>
      </c>
      <c r="FD19" s="104">
        <f>'Проверочная  таблица'!LP21+'Проверочная  таблица'!MB21</f>
        <v>0</v>
      </c>
      <c r="FE19" s="1428">
        <f>'Проверочная  таблица'!LP21</f>
        <v>0</v>
      </c>
      <c r="FF19" s="1397"/>
      <c r="FG19" s="1425">
        <f>'Проверочная  таблица'!MB21</f>
        <v>0</v>
      </c>
      <c r="FH19" s="104">
        <f>'Проверочная  таблица'!LK21+'Проверочная  таблица'!LY21</f>
        <v>0</v>
      </c>
      <c r="FI19" s="1428">
        <f>'Проверочная  таблица'!LK21</f>
        <v>0</v>
      </c>
      <c r="FJ19" s="1397"/>
      <c r="FK19" s="1425">
        <f>'Проверочная  таблица'!LY21</f>
        <v>0</v>
      </c>
      <c r="FL19" s="104">
        <f>'Проверочная  таблица'!LR21+'Проверочная  таблица'!MD21</f>
        <v>0</v>
      </c>
      <c r="FM19" s="1428">
        <f>'Проверочная  таблица'!LR21</f>
        <v>0</v>
      </c>
      <c r="FN19" s="1397"/>
      <c r="FO19" s="1425">
        <f>'Проверочная  таблица'!MD21</f>
        <v>0</v>
      </c>
      <c r="FP19" s="104">
        <f>'Проверочная  таблица'!LM21</f>
        <v>0</v>
      </c>
      <c r="FQ19" s="1397"/>
      <c r="FR19" s="1397"/>
      <c r="FS19" s="1398"/>
      <c r="FT19" s="101">
        <f>'Проверочная  таблица'!LT21</f>
        <v>0</v>
      </c>
      <c r="FU19" s="1397"/>
      <c r="FV19" s="1397"/>
      <c r="FW19" s="1397"/>
      <c r="FX19" s="104">
        <f>'Проверочная  таблица'!NE21</f>
        <v>0</v>
      </c>
      <c r="FY19" s="1428"/>
      <c r="FZ19" s="1397">
        <f t="shared" si="22"/>
        <v>0</v>
      </c>
      <c r="GA19" s="1398"/>
      <c r="GB19" s="101">
        <f>'Проверочная  таблица'!NH21</f>
        <v>0</v>
      </c>
      <c r="GC19" s="1397"/>
      <c r="GD19" s="1397">
        <f t="shared" si="23"/>
        <v>0</v>
      </c>
      <c r="GE19" s="1398"/>
      <c r="GF19" s="103">
        <f>'Проверочная  таблица'!NW21</f>
        <v>0</v>
      </c>
      <c r="GG19" s="1397"/>
      <c r="GH19" s="1397"/>
      <c r="GI19" s="1398"/>
      <c r="GJ19" s="103">
        <f>'Проверочная  таблица'!NZ21</f>
        <v>0</v>
      </c>
      <c r="GK19" s="1397"/>
      <c r="GL19" s="1397"/>
      <c r="GM19" s="1398"/>
      <c r="GN19" s="101">
        <f>'Проверочная  таблица'!OW21+'Проверочная  таблица'!PM21</f>
        <v>0</v>
      </c>
      <c r="GO19" s="1397"/>
      <c r="GP19" s="1397">
        <f t="shared" si="24"/>
        <v>0</v>
      </c>
      <c r="GQ19" s="1398"/>
      <c r="GR19" s="101">
        <f>'Проверочная  таблица'!PD21+'Проверочная  таблица'!PV21</f>
        <v>0</v>
      </c>
      <c r="GS19" s="1397"/>
      <c r="GT19" s="1397">
        <f t="shared" si="25"/>
        <v>0</v>
      </c>
      <c r="GU19" s="1398"/>
      <c r="GV19" s="103">
        <f>'Проверочная  таблица'!PI21</f>
        <v>0</v>
      </c>
      <c r="GW19" s="1428"/>
      <c r="GX19" s="1397">
        <f t="shared" si="26"/>
        <v>0</v>
      </c>
      <c r="GY19" s="1398"/>
      <c r="GZ19" s="103">
        <f>'Проверочная  таблица'!PR21</f>
        <v>0</v>
      </c>
      <c r="HA19" s="1397"/>
      <c r="HB19" s="1397">
        <f t="shared" si="27"/>
        <v>0</v>
      </c>
      <c r="HC19" s="1398"/>
      <c r="HD19" s="103">
        <f>'Проверочная  таблица'!OU21+'Проверочная  таблица'!PK21</f>
        <v>0</v>
      </c>
      <c r="HE19" s="1428">
        <f>'Проверочная  таблица'!OU21</f>
        <v>0</v>
      </c>
      <c r="HF19" s="1397">
        <f>'Проверочная  таблица'!PK21</f>
        <v>0</v>
      </c>
      <c r="HG19" s="1398"/>
      <c r="HH19" s="103">
        <f>'Проверочная  таблица'!PB21+'Проверочная  таблица'!PT21</f>
        <v>0</v>
      </c>
      <c r="HI19" s="1428">
        <f>'Проверочная  таблица'!PB21</f>
        <v>0</v>
      </c>
      <c r="HJ19" s="1397">
        <f>'Проверочная  таблица'!PT21</f>
        <v>0</v>
      </c>
      <c r="HK19" s="1398"/>
      <c r="HL19" s="103">
        <f>'Проверочная  таблица'!OY21+'Проверочная  таблица'!PO21</f>
        <v>0</v>
      </c>
      <c r="HM19" s="1397">
        <f t="shared" si="28"/>
        <v>0</v>
      </c>
      <c r="HN19" s="1425"/>
      <c r="HO19" s="1398"/>
      <c r="HP19" s="103">
        <f>'Проверочная  таблица'!PF21+'Проверочная  таблица'!PX21</f>
        <v>0</v>
      </c>
      <c r="HQ19" s="1397">
        <f t="shared" si="29"/>
        <v>0</v>
      </c>
      <c r="HR19" s="1397"/>
      <c r="HS19" s="1397"/>
    </row>
    <row r="20" spans="1:227" ht="25.5" customHeight="1" x14ac:dyDescent="0.3">
      <c r="A20" s="105" t="s">
        <v>98</v>
      </c>
      <c r="B20" s="1445">
        <f t="shared" si="13"/>
        <v>0</v>
      </c>
      <c r="C20" s="1445">
        <f t="shared" si="14"/>
        <v>0</v>
      </c>
      <c r="D20" s="269">
        <f t="shared" si="15"/>
        <v>28749416.780000001</v>
      </c>
      <c r="E20" s="1420">
        <f t="shared" si="0"/>
        <v>1104816.78</v>
      </c>
      <c r="F20" s="1420">
        <f t="shared" si="0"/>
        <v>14819600</v>
      </c>
      <c r="G20" s="1420">
        <f t="shared" si="0"/>
        <v>12825000</v>
      </c>
      <c r="H20" s="269">
        <f t="shared" si="1"/>
        <v>18091408</v>
      </c>
      <c r="I20" s="1420">
        <f t="shared" si="2"/>
        <v>1104816.78</v>
      </c>
      <c r="J20" s="1420">
        <f t="shared" si="3"/>
        <v>4237583.62</v>
      </c>
      <c r="K20" s="1420">
        <f t="shared" si="4"/>
        <v>12749007.6</v>
      </c>
      <c r="L20" s="104">
        <f>'Проверочная  таблица'!DE22+'Проверочная  таблица'!DG22</f>
        <v>0</v>
      </c>
      <c r="M20" s="1428">
        <f>'Проверочная  таблица'!DE22</f>
        <v>0</v>
      </c>
      <c r="N20" s="1397"/>
      <c r="O20" s="1425">
        <f>'Проверочная  таблица'!DG22</f>
        <v>0</v>
      </c>
      <c r="P20" s="104">
        <f>'Проверочная  таблица'!DF22+'Проверочная  таблица'!DH22</f>
        <v>0</v>
      </c>
      <c r="Q20" s="1428">
        <f>'Проверочная  таблица'!DF22</f>
        <v>0</v>
      </c>
      <c r="R20" s="1397"/>
      <c r="S20" s="1425">
        <f>'Проверочная  таблица'!DH22</f>
        <v>0</v>
      </c>
      <c r="T20" s="104">
        <f>'Проверочная  таблица'!DX22</f>
        <v>0</v>
      </c>
      <c r="U20" s="1397">
        <f t="shared" si="5"/>
        <v>0</v>
      </c>
      <c r="V20" s="1397"/>
      <c r="W20" s="1398"/>
      <c r="X20" s="101">
        <f>'Проверочная  таблица'!EF22</f>
        <v>0</v>
      </c>
      <c r="Y20" s="1397">
        <f t="shared" si="6"/>
        <v>0</v>
      </c>
      <c r="Z20" s="1397"/>
      <c r="AA20" s="1397"/>
      <c r="AB20" s="104">
        <f>'Проверочная  таблица'!DZ22</f>
        <v>0</v>
      </c>
      <c r="AC20" s="1397">
        <f t="shared" si="7"/>
        <v>0</v>
      </c>
      <c r="AD20" s="1397"/>
      <c r="AE20" s="1398"/>
      <c r="AF20" s="103">
        <f>'Проверочная  таблица'!EH22</f>
        <v>0</v>
      </c>
      <c r="AG20" s="1397">
        <f t="shared" si="8"/>
        <v>0</v>
      </c>
      <c r="AH20" s="1397"/>
      <c r="AI20" s="1398"/>
      <c r="AJ20" s="103">
        <f>'Проверочная  таблица'!EU22</f>
        <v>0</v>
      </c>
      <c r="AK20" s="1397">
        <f t="shared" si="9"/>
        <v>0</v>
      </c>
      <c r="AL20" s="1397"/>
      <c r="AM20" s="1398"/>
      <c r="AN20" s="101">
        <f>'Проверочная  таблица'!EX22</f>
        <v>0</v>
      </c>
      <c r="AO20" s="1397">
        <f t="shared" si="10"/>
        <v>0</v>
      </c>
      <c r="AP20" s="1397"/>
      <c r="AQ20" s="1398"/>
      <c r="AR20" s="103">
        <f>'Проверочная  таблица'!FG22</f>
        <v>0</v>
      </c>
      <c r="AS20" s="1397">
        <f t="shared" si="11"/>
        <v>0</v>
      </c>
      <c r="AT20" s="1397"/>
      <c r="AU20" s="1398"/>
      <c r="AV20" s="103">
        <f>'Проверочная  таблица'!FL22</f>
        <v>0</v>
      </c>
      <c r="AW20" s="1397">
        <f t="shared" si="12"/>
        <v>0</v>
      </c>
      <c r="AX20" s="1397"/>
      <c r="AY20" s="1398"/>
      <c r="AZ20" s="101">
        <f>'Проверочная  таблица'!FI22</f>
        <v>0</v>
      </c>
      <c r="BA20" s="1397"/>
      <c r="BB20" s="1397"/>
      <c r="BC20" s="1398"/>
      <c r="BD20" s="101">
        <f>'Проверочная  таблица'!FN22</f>
        <v>0</v>
      </c>
      <c r="BE20" s="1397"/>
      <c r="BF20" s="1397"/>
      <c r="BG20" s="1398"/>
      <c r="BH20" s="103">
        <f>'Проверочная  таблица'!FQ22</f>
        <v>0</v>
      </c>
      <c r="BI20" s="1397">
        <f t="shared" si="16"/>
        <v>0</v>
      </c>
      <c r="BJ20" s="1425"/>
      <c r="BK20" s="1398"/>
      <c r="BL20" s="101">
        <f>'Проверочная  таблица'!FT22</f>
        <v>0</v>
      </c>
      <c r="BM20" s="1397">
        <f t="shared" si="17"/>
        <v>0</v>
      </c>
      <c r="BN20" s="1397"/>
      <c r="BO20" s="1398"/>
      <c r="BP20" s="101">
        <f>'Проверочная  таблица'!FW22</f>
        <v>0</v>
      </c>
      <c r="BQ20" s="1397"/>
      <c r="BR20" s="1397"/>
      <c r="BS20" s="1398"/>
      <c r="BT20" s="101">
        <f>'Проверочная  таблица'!FZ22</f>
        <v>0</v>
      </c>
      <c r="BU20" s="1397"/>
      <c r="BV20" s="1397"/>
      <c r="BW20" s="1397"/>
      <c r="BX20" s="104">
        <f>'Проверочная  таблица'!GC22+'Проверочная  таблица'!GI22</f>
        <v>1079997.94</v>
      </c>
      <c r="BY20" s="1428">
        <f>'Проверочная  таблица'!GC22</f>
        <v>1079997.94</v>
      </c>
      <c r="BZ20" s="1397">
        <f>'Проверочная  таблица'!GO22</f>
        <v>0</v>
      </c>
      <c r="CA20" s="1425">
        <f>'Проверочная  таблица'!GU22</f>
        <v>0</v>
      </c>
      <c r="CB20" s="104">
        <f>'Проверочная  таблица'!GF22+'Проверочная  таблица'!GL22</f>
        <v>1079997.94</v>
      </c>
      <c r="CC20" s="1428">
        <f>'Проверочная  таблица'!GF22</f>
        <v>1079997.94</v>
      </c>
      <c r="CD20" s="1397">
        <f>'Проверочная  таблица'!GR22</f>
        <v>0</v>
      </c>
      <c r="CE20" s="1425">
        <f>'Проверочная  таблица'!GX22</f>
        <v>0</v>
      </c>
      <c r="CF20" s="104">
        <f>'Проверочная  таблица'!HI22+'Проверочная  таблица'!IA22</f>
        <v>24818.84</v>
      </c>
      <c r="CG20" s="1428">
        <f>'Проверочная  таблица'!HI22</f>
        <v>24818.84</v>
      </c>
      <c r="CH20" s="1397"/>
      <c r="CI20" s="1425">
        <f>'Проверочная  таблица'!JK22</f>
        <v>0</v>
      </c>
      <c r="CJ20" s="104">
        <f>'Проверочная  таблица'!IJ22+'Проверочная  таблица'!HR22</f>
        <v>24818.84</v>
      </c>
      <c r="CK20" s="1428">
        <f>'Проверочная  таблица'!HR22</f>
        <v>24818.84</v>
      </c>
      <c r="CL20" s="1397"/>
      <c r="CM20" s="1425">
        <f>'Проверочная  таблица'!JT22</f>
        <v>0</v>
      </c>
      <c r="CN20" s="104">
        <f>'Проверочная  таблица'!HK22+'Проверочная  таблица'!IC22</f>
        <v>0</v>
      </c>
      <c r="CO20" s="1428">
        <f>'Проверочная  таблица'!HK22</f>
        <v>0</v>
      </c>
      <c r="CP20" s="1397">
        <f>'Проверочная  таблица'!IU22</f>
        <v>0</v>
      </c>
      <c r="CQ20" s="1425">
        <f>'Проверочная  таблица'!JM22</f>
        <v>0</v>
      </c>
      <c r="CR20" s="104">
        <f>'Проверочная  таблица'!IL22+'Проверочная  таблица'!HT22</f>
        <v>0</v>
      </c>
      <c r="CS20" s="1428">
        <f>'Проверочная  таблица'!HT22</f>
        <v>0</v>
      </c>
      <c r="CT20" s="1397">
        <f>'Проверочная  таблица'!JD22</f>
        <v>0</v>
      </c>
      <c r="CU20" s="1425">
        <f>'Проверочная  таблица'!JV22</f>
        <v>0</v>
      </c>
      <c r="CV20" s="104">
        <f>'Проверочная  таблица'!HM22+'Проверочная  таблица'!IE22</f>
        <v>0</v>
      </c>
      <c r="CW20" s="1397"/>
      <c r="CX20" s="1397"/>
      <c r="CY20" s="1398"/>
      <c r="CZ20" s="103">
        <f>'Проверочная  таблица'!HV22+'Проверочная  таблица'!IN22</f>
        <v>0</v>
      </c>
      <c r="DA20" s="1397"/>
      <c r="DB20" s="1397"/>
      <c r="DC20" s="1398"/>
      <c r="DD20" s="103">
        <f>'Проверочная  таблица'!HG22+'Проверочная  таблица'!HY22</f>
        <v>14819600</v>
      </c>
      <c r="DE20" s="1428"/>
      <c r="DF20" s="1397">
        <f t="shared" si="18"/>
        <v>14819600</v>
      </c>
      <c r="DG20" s="1398"/>
      <c r="DH20" s="101">
        <f>'Проверочная  таблица'!IH22+'Проверочная  таблица'!HP22</f>
        <v>4237583.62</v>
      </c>
      <c r="DI20" s="1397"/>
      <c r="DJ20" s="1397">
        <f t="shared" si="19"/>
        <v>4237583.62</v>
      </c>
      <c r="DK20" s="1398"/>
      <c r="DL20" s="103">
        <f>'Проверочная  таблица'!KA22</f>
        <v>0</v>
      </c>
      <c r="DM20" s="1443">
        <f t="shared" si="20"/>
        <v>0</v>
      </c>
      <c r="DN20" s="1425"/>
      <c r="DO20" s="1398"/>
      <c r="DP20" s="103">
        <f>'Проверочная  таблица'!KF22</f>
        <v>0</v>
      </c>
      <c r="DQ20" s="1443">
        <f t="shared" si="21"/>
        <v>0</v>
      </c>
      <c r="DR20" s="1397"/>
      <c r="DS20" s="1398"/>
      <c r="DT20" s="101">
        <f>'Проверочная  таблица'!KC22</f>
        <v>0</v>
      </c>
      <c r="DU20" s="1397"/>
      <c r="DV20" s="1397"/>
      <c r="DW20" s="1398"/>
      <c r="DX20" s="103">
        <f>'Проверочная  таблица'!KH22</f>
        <v>0</v>
      </c>
      <c r="DY20" s="1397"/>
      <c r="DZ20" s="1397"/>
      <c r="EA20" s="1398"/>
      <c r="EB20" s="103">
        <f>'Проверочная  таблица'!KL22</f>
        <v>0</v>
      </c>
      <c r="EC20" s="1397"/>
      <c r="ED20" s="1397"/>
      <c r="EE20" s="1398"/>
      <c r="EF20" s="101">
        <f>'Проверочная  таблица'!KR22</f>
        <v>0</v>
      </c>
      <c r="EG20" s="1397"/>
      <c r="EH20" s="1397"/>
      <c r="EI20" s="1398"/>
      <c r="EJ20" s="101">
        <f>'Проверочная  таблица'!KN22</f>
        <v>0</v>
      </c>
      <c r="EK20" s="1397"/>
      <c r="EL20" s="1397"/>
      <c r="EM20" s="1398"/>
      <c r="EN20" s="101">
        <f>'Проверочная  таблица'!KT22</f>
        <v>0</v>
      </c>
      <c r="EO20" s="1397"/>
      <c r="EP20" s="1397"/>
      <c r="EQ20" s="1398"/>
      <c r="ER20" s="103">
        <f>'Проверочная  таблица'!KX22</f>
        <v>0</v>
      </c>
      <c r="ES20" s="1397"/>
      <c r="ET20" s="1397"/>
      <c r="EU20" s="1398"/>
      <c r="EV20" s="101">
        <f>'Проверочная  таблица'!LB22</f>
        <v>0</v>
      </c>
      <c r="EW20" s="1397"/>
      <c r="EX20" s="1397"/>
      <c r="EY20" s="1397"/>
      <c r="EZ20" s="104">
        <f>'Проверочная  таблица'!LI22+'Проверочная  таблица'!LW22</f>
        <v>5225000</v>
      </c>
      <c r="FA20" s="1428">
        <f>'Проверочная  таблица'!LI22</f>
        <v>0</v>
      </c>
      <c r="FB20" s="1397"/>
      <c r="FC20" s="1425">
        <f>'Проверочная  таблица'!LW22</f>
        <v>5225000</v>
      </c>
      <c r="FD20" s="104">
        <f>'Проверочная  таблица'!LP22+'Проверочная  таблица'!MB22</f>
        <v>5225000</v>
      </c>
      <c r="FE20" s="1428">
        <f>'Проверочная  таблица'!LP22</f>
        <v>0</v>
      </c>
      <c r="FF20" s="1397"/>
      <c r="FG20" s="1425">
        <f>'Проверочная  таблица'!MB22</f>
        <v>5225000</v>
      </c>
      <c r="FH20" s="104">
        <f>'Проверочная  таблица'!LK22+'Проверочная  таблица'!LY22</f>
        <v>7600000</v>
      </c>
      <c r="FI20" s="1428">
        <f>'Проверочная  таблица'!LK22</f>
        <v>0</v>
      </c>
      <c r="FJ20" s="1397"/>
      <c r="FK20" s="1425">
        <f>'Проверочная  таблица'!LY22</f>
        <v>7600000</v>
      </c>
      <c r="FL20" s="104">
        <f>'Проверочная  таблица'!LR22+'Проверочная  таблица'!MD22</f>
        <v>7524007.5999999996</v>
      </c>
      <c r="FM20" s="1428">
        <f>'Проверочная  таблица'!LR22</f>
        <v>0</v>
      </c>
      <c r="FN20" s="1397"/>
      <c r="FO20" s="1425">
        <f>'Проверочная  таблица'!MD22</f>
        <v>7524007.5999999996</v>
      </c>
      <c r="FP20" s="104">
        <f>'Проверочная  таблица'!LM22</f>
        <v>0</v>
      </c>
      <c r="FQ20" s="1397"/>
      <c r="FR20" s="1397"/>
      <c r="FS20" s="1398"/>
      <c r="FT20" s="101">
        <f>'Проверочная  таблица'!LT22</f>
        <v>0</v>
      </c>
      <c r="FU20" s="1397"/>
      <c r="FV20" s="1397"/>
      <c r="FW20" s="1397"/>
      <c r="FX20" s="104">
        <f>'Проверочная  таблица'!NE22</f>
        <v>0</v>
      </c>
      <c r="FY20" s="1428"/>
      <c r="FZ20" s="1397">
        <f t="shared" si="22"/>
        <v>0</v>
      </c>
      <c r="GA20" s="1398"/>
      <c r="GB20" s="101">
        <f>'Проверочная  таблица'!NH22</f>
        <v>0</v>
      </c>
      <c r="GC20" s="1397"/>
      <c r="GD20" s="1397">
        <f t="shared" si="23"/>
        <v>0</v>
      </c>
      <c r="GE20" s="1398"/>
      <c r="GF20" s="103">
        <f>'Проверочная  таблица'!NW22</f>
        <v>0</v>
      </c>
      <c r="GG20" s="1397"/>
      <c r="GH20" s="1397"/>
      <c r="GI20" s="1398"/>
      <c r="GJ20" s="103">
        <f>'Проверочная  таблица'!NZ22</f>
        <v>0</v>
      </c>
      <c r="GK20" s="1397"/>
      <c r="GL20" s="1397"/>
      <c r="GM20" s="1398"/>
      <c r="GN20" s="101">
        <f>'Проверочная  таблица'!OW22+'Проверочная  таблица'!PM22</f>
        <v>0</v>
      </c>
      <c r="GO20" s="1397"/>
      <c r="GP20" s="1397">
        <f t="shared" si="24"/>
        <v>0</v>
      </c>
      <c r="GQ20" s="1398"/>
      <c r="GR20" s="101">
        <f>'Проверочная  таблица'!PD22+'Проверочная  таблица'!PV22</f>
        <v>0</v>
      </c>
      <c r="GS20" s="1397"/>
      <c r="GT20" s="1397">
        <f t="shared" si="25"/>
        <v>0</v>
      </c>
      <c r="GU20" s="1398"/>
      <c r="GV20" s="103">
        <f>'Проверочная  таблица'!PI22</f>
        <v>0</v>
      </c>
      <c r="GW20" s="1428"/>
      <c r="GX20" s="1397">
        <f t="shared" si="26"/>
        <v>0</v>
      </c>
      <c r="GY20" s="1398"/>
      <c r="GZ20" s="103">
        <f>'Проверочная  таблица'!PR22</f>
        <v>0</v>
      </c>
      <c r="HA20" s="1397"/>
      <c r="HB20" s="1397">
        <f t="shared" si="27"/>
        <v>0</v>
      </c>
      <c r="HC20" s="1398"/>
      <c r="HD20" s="103">
        <f>'Проверочная  таблица'!OU22+'Проверочная  таблица'!PK22</f>
        <v>0</v>
      </c>
      <c r="HE20" s="1428">
        <f>'Проверочная  таблица'!OU22</f>
        <v>0</v>
      </c>
      <c r="HF20" s="1397">
        <f>'Проверочная  таблица'!PK22</f>
        <v>0</v>
      </c>
      <c r="HG20" s="1398"/>
      <c r="HH20" s="103">
        <f>'Проверочная  таблица'!PB22+'Проверочная  таблица'!PT22</f>
        <v>0</v>
      </c>
      <c r="HI20" s="1428">
        <f>'Проверочная  таблица'!PB22</f>
        <v>0</v>
      </c>
      <c r="HJ20" s="1397">
        <f>'Проверочная  таблица'!PT22</f>
        <v>0</v>
      </c>
      <c r="HK20" s="1398"/>
      <c r="HL20" s="103">
        <f>'Проверочная  таблица'!OY22+'Проверочная  таблица'!PO22</f>
        <v>0</v>
      </c>
      <c r="HM20" s="1397">
        <f t="shared" si="28"/>
        <v>0</v>
      </c>
      <c r="HN20" s="1425"/>
      <c r="HO20" s="1398"/>
      <c r="HP20" s="103">
        <f>'Проверочная  таблица'!PF22+'Проверочная  таблица'!PX22</f>
        <v>0</v>
      </c>
      <c r="HQ20" s="1397">
        <f t="shared" si="29"/>
        <v>0</v>
      </c>
      <c r="HR20" s="1397"/>
      <c r="HS20" s="1397"/>
    </row>
    <row r="21" spans="1:227" ht="25.5" customHeight="1" x14ac:dyDescent="0.3">
      <c r="A21" s="102" t="s">
        <v>99</v>
      </c>
      <c r="B21" s="1445">
        <f t="shared" si="13"/>
        <v>0</v>
      </c>
      <c r="C21" s="1445">
        <f t="shared" si="14"/>
        <v>0</v>
      </c>
      <c r="D21" s="269">
        <f t="shared" si="15"/>
        <v>3991830.74</v>
      </c>
      <c r="E21" s="1420">
        <f t="shared" si="0"/>
        <v>3991830.74</v>
      </c>
      <c r="F21" s="1420">
        <f t="shared" si="0"/>
        <v>0</v>
      </c>
      <c r="G21" s="1420">
        <f t="shared" si="0"/>
        <v>0</v>
      </c>
      <c r="H21" s="269">
        <f t="shared" si="1"/>
        <v>981480.74</v>
      </c>
      <c r="I21" s="1420">
        <f t="shared" si="2"/>
        <v>981480.74</v>
      </c>
      <c r="J21" s="1420">
        <f t="shared" si="3"/>
        <v>0</v>
      </c>
      <c r="K21" s="1420">
        <f t="shared" si="4"/>
        <v>0</v>
      </c>
      <c r="L21" s="104">
        <f>'Проверочная  таблица'!DE23+'Проверочная  таблица'!DG23</f>
        <v>0</v>
      </c>
      <c r="M21" s="1428">
        <f>'Проверочная  таблица'!DE23</f>
        <v>0</v>
      </c>
      <c r="N21" s="1397"/>
      <c r="O21" s="1425">
        <f>'Проверочная  таблица'!DG23</f>
        <v>0</v>
      </c>
      <c r="P21" s="104">
        <f>'Проверочная  таблица'!DF23+'Проверочная  таблица'!DH23</f>
        <v>0</v>
      </c>
      <c r="Q21" s="1428">
        <f>'Проверочная  таблица'!DF23</f>
        <v>0</v>
      </c>
      <c r="R21" s="1397"/>
      <c r="S21" s="1425">
        <f>'Проверочная  таблица'!DH23</f>
        <v>0</v>
      </c>
      <c r="T21" s="104">
        <f>'Проверочная  таблица'!DX23</f>
        <v>0</v>
      </c>
      <c r="U21" s="1397">
        <f t="shared" si="5"/>
        <v>0</v>
      </c>
      <c r="V21" s="1397"/>
      <c r="W21" s="1398"/>
      <c r="X21" s="101">
        <f>'Проверочная  таблица'!EF23</f>
        <v>0</v>
      </c>
      <c r="Y21" s="1397">
        <f t="shared" si="6"/>
        <v>0</v>
      </c>
      <c r="Z21" s="1397"/>
      <c r="AA21" s="1397"/>
      <c r="AB21" s="104">
        <f>'Проверочная  таблица'!DZ23</f>
        <v>0</v>
      </c>
      <c r="AC21" s="1397">
        <f t="shared" si="7"/>
        <v>0</v>
      </c>
      <c r="AD21" s="1397"/>
      <c r="AE21" s="1398"/>
      <c r="AF21" s="103">
        <f>'Проверочная  таблица'!EH23</f>
        <v>0</v>
      </c>
      <c r="AG21" s="1397">
        <f t="shared" si="8"/>
        <v>0</v>
      </c>
      <c r="AH21" s="1397"/>
      <c r="AI21" s="1398"/>
      <c r="AJ21" s="103">
        <f>'Проверочная  таблица'!EU23</f>
        <v>3010350</v>
      </c>
      <c r="AK21" s="1397">
        <f t="shared" si="9"/>
        <v>3010350</v>
      </c>
      <c r="AL21" s="1397"/>
      <c r="AM21" s="1398"/>
      <c r="AN21" s="101">
        <f>'Проверочная  таблица'!EX23</f>
        <v>0</v>
      </c>
      <c r="AO21" s="1397">
        <f t="shared" si="10"/>
        <v>0</v>
      </c>
      <c r="AP21" s="1397"/>
      <c r="AQ21" s="1398"/>
      <c r="AR21" s="103">
        <f>'Проверочная  таблица'!FG23</f>
        <v>0</v>
      </c>
      <c r="AS21" s="1397">
        <f t="shared" si="11"/>
        <v>0</v>
      </c>
      <c r="AT21" s="1397"/>
      <c r="AU21" s="1398"/>
      <c r="AV21" s="103">
        <f>'Проверочная  таблица'!FL23</f>
        <v>0</v>
      </c>
      <c r="AW21" s="1397">
        <f t="shared" si="12"/>
        <v>0</v>
      </c>
      <c r="AX21" s="1397"/>
      <c r="AY21" s="1398"/>
      <c r="AZ21" s="101">
        <f>'Проверочная  таблица'!FI23</f>
        <v>0</v>
      </c>
      <c r="BA21" s="1397"/>
      <c r="BB21" s="1397"/>
      <c r="BC21" s="1398"/>
      <c r="BD21" s="101">
        <f>'Проверочная  таблица'!FN23</f>
        <v>0</v>
      </c>
      <c r="BE21" s="1397"/>
      <c r="BF21" s="1397"/>
      <c r="BG21" s="1398"/>
      <c r="BH21" s="103">
        <f>'Проверочная  таблица'!FQ23</f>
        <v>0</v>
      </c>
      <c r="BI21" s="1397">
        <f t="shared" si="16"/>
        <v>0</v>
      </c>
      <c r="BJ21" s="1425"/>
      <c r="BK21" s="1398"/>
      <c r="BL21" s="101">
        <f>'Проверочная  таблица'!FT23</f>
        <v>0</v>
      </c>
      <c r="BM21" s="1397">
        <f t="shared" si="17"/>
        <v>0</v>
      </c>
      <c r="BN21" s="1397"/>
      <c r="BO21" s="1398"/>
      <c r="BP21" s="101">
        <f>'Проверочная  таблица'!FW23</f>
        <v>0</v>
      </c>
      <c r="BQ21" s="1397"/>
      <c r="BR21" s="1397"/>
      <c r="BS21" s="1398"/>
      <c r="BT21" s="101">
        <f>'Проверочная  таблица'!FZ23</f>
        <v>0</v>
      </c>
      <c r="BU21" s="1397"/>
      <c r="BV21" s="1397"/>
      <c r="BW21" s="1397"/>
      <c r="BX21" s="104">
        <f>'Проверочная  таблица'!GC23+'Проверочная  таблица'!GI23</f>
        <v>970725.91</v>
      </c>
      <c r="BY21" s="1428">
        <f>'Проверочная  таблица'!GC23</f>
        <v>970725.91</v>
      </c>
      <c r="BZ21" s="1397">
        <f>'Проверочная  таблица'!GO23</f>
        <v>0</v>
      </c>
      <c r="CA21" s="1425">
        <f>'Проверочная  таблица'!GU23</f>
        <v>0</v>
      </c>
      <c r="CB21" s="104">
        <f>'Проверочная  таблица'!GF23+'Проверочная  таблица'!GL23</f>
        <v>970725.91</v>
      </c>
      <c r="CC21" s="1428">
        <f>'Проверочная  таблица'!GF23</f>
        <v>970725.91</v>
      </c>
      <c r="CD21" s="1397">
        <f>'Проверочная  таблица'!GR23</f>
        <v>0</v>
      </c>
      <c r="CE21" s="1425">
        <f>'Проверочная  таблица'!GX23</f>
        <v>0</v>
      </c>
      <c r="CF21" s="104">
        <f>'Проверочная  таблица'!HI23+'Проверочная  таблица'!IA23</f>
        <v>10754.83</v>
      </c>
      <c r="CG21" s="1428">
        <f>'Проверочная  таблица'!HI23</f>
        <v>10754.83</v>
      </c>
      <c r="CH21" s="1397"/>
      <c r="CI21" s="1425">
        <f>'Проверочная  таблица'!JK23</f>
        <v>0</v>
      </c>
      <c r="CJ21" s="104">
        <f>'Проверочная  таблица'!IJ23+'Проверочная  таблица'!HR23</f>
        <v>10754.83</v>
      </c>
      <c r="CK21" s="1428">
        <f>'Проверочная  таблица'!HR23</f>
        <v>10754.83</v>
      </c>
      <c r="CL21" s="1397"/>
      <c r="CM21" s="1425">
        <f>'Проверочная  таблица'!JT23</f>
        <v>0</v>
      </c>
      <c r="CN21" s="104">
        <f>'Проверочная  таблица'!HK23+'Проверочная  таблица'!IC23</f>
        <v>0</v>
      </c>
      <c r="CO21" s="1428">
        <f>'Проверочная  таблица'!HK23</f>
        <v>0</v>
      </c>
      <c r="CP21" s="1397">
        <f>'Проверочная  таблица'!IU23</f>
        <v>0</v>
      </c>
      <c r="CQ21" s="1425">
        <f>'Проверочная  таблица'!JM23</f>
        <v>0</v>
      </c>
      <c r="CR21" s="104">
        <f>'Проверочная  таблица'!IL23+'Проверочная  таблица'!HT23</f>
        <v>0</v>
      </c>
      <c r="CS21" s="1428">
        <f>'Проверочная  таблица'!HT23</f>
        <v>0</v>
      </c>
      <c r="CT21" s="1397">
        <f>'Проверочная  таблица'!JD23</f>
        <v>0</v>
      </c>
      <c r="CU21" s="1425">
        <f>'Проверочная  таблица'!JV23</f>
        <v>0</v>
      </c>
      <c r="CV21" s="104">
        <f>'Проверочная  таблица'!HM23+'Проверочная  таблица'!IE23</f>
        <v>0</v>
      </c>
      <c r="CW21" s="1397"/>
      <c r="CX21" s="1397"/>
      <c r="CY21" s="1398"/>
      <c r="CZ21" s="103">
        <f>'Проверочная  таблица'!HV23+'Проверочная  таблица'!IN23</f>
        <v>0</v>
      </c>
      <c r="DA21" s="1397"/>
      <c r="DB21" s="1397"/>
      <c r="DC21" s="1398"/>
      <c r="DD21" s="103">
        <f>'Проверочная  таблица'!HG23+'Проверочная  таблица'!HY23</f>
        <v>0</v>
      </c>
      <c r="DE21" s="1428"/>
      <c r="DF21" s="1397">
        <f t="shared" si="18"/>
        <v>0</v>
      </c>
      <c r="DG21" s="1398"/>
      <c r="DH21" s="101">
        <f>'Проверочная  таблица'!IH23+'Проверочная  таблица'!HP23</f>
        <v>0</v>
      </c>
      <c r="DI21" s="1397"/>
      <c r="DJ21" s="1397">
        <f t="shared" si="19"/>
        <v>0</v>
      </c>
      <c r="DK21" s="1398"/>
      <c r="DL21" s="103">
        <f>'Проверочная  таблица'!KA23</f>
        <v>0</v>
      </c>
      <c r="DM21" s="1443">
        <f t="shared" si="20"/>
        <v>0</v>
      </c>
      <c r="DN21" s="1425"/>
      <c r="DO21" s="1398"/>
      <c r="DP21" s="103">
        <f>'Проверочная  таблица'!KF23</f>
        <v>0</v>
      </c>
      <c r="DQ21" s="1443">
        <f t="shared" si="21"/>
        <v>0</v>
      </c>
      <c r="DR21" s="1397"/>
      <c r="DS21" s="1398"/>
      <c r="DT21" s="101">
        <f>'Проверочная  таблица'!KC23</f>
        <v>0</v>
      </c>
      <c r="DU21" s="1397"/>
      <c r="DV21" s="1397"/>
      <c r="DW21" s="1398"/>
      <c r="DX21" s="103">
        <f>'Проверочная  таблица'!KH23</f>
        <v>0</v>
      </c>
      <c r="DY21" s="1397"/>
      <c r="DZ21" s="1397"/>
      <c r="EA21" s="1398"/>
      <c r="EB21" s="103">
        <f>'Проверочная  таблица'!KL23</f>
        <v>0</v>
      </c>
      <c r="EC21" s="1397"/>
      <c r="ED21" s="1397"/>
      <c r="EE21" s="1398"/>
      <c r="EF21" s="101">
        <f>'Проверочная  таблица'!KR23</f>
        <v>0</v>
      </c>
      <c r="EG21" s="1397"/>
      <c r="EH21" s="1397"/>
      <c r="EI21" s="1398"/>
      <c r="EJ21" s="101">
        <f>'Проверочная  таблица'!KN23</f>
        <v>0</v>
      </c>
      <c r="EK21" s="1397"/>
      <c r="EL21" s="1397"/>
      <c r="EM21" s="1398"/>
      <c r="EN21" s="101">
        <f>'Проверочная  таблица'!KT23</f>
        <v>0</v>
      </c>
      <c r="EO21" s="1397"/>
      <c r="EP21" s="1397"/>
      <c r="EQ21" s="1398"/>
      <c r="ER21" s="103">
        <f>'Проверочная  таблица'!KX23</f>
        <v>0</v>
      </c>
      <c r="ES21" s="1397"/>
      <c r="ET21" s="1397"/>
      <c r="EU21" s="1398"/>
      <c r="EV21" s="101">
        <f>'Проверочная  таблица'!LB23</f>
        <v>0</v>
      </c>
      <c r="EW21" s="1397"/>
      <c r="EX21" s="1397"/>
      <c r="EY21" s="1397"/>
      <c r="EZ21" s="104">
        <f>'Проверочная  таблица'!LI23+'Проверочная  таблица'!LW23</f>
        <v>0</v>
      </c>
      <c r="FA21" s="1428">
        <f>'Проверочная  таблица'!LI23</f>
        <v>0</v>
      </c>
      <c r="FB21" s="1397"/>
      <c r="FC21" s="1425">
        <f>'Проверочная  таблица'!LW23</f>
        <v>0</v>
      </c>
      <c r="FD21" s="104">
        <f>'Проверочная  таблица'!LP23+'Проверочная  таблица'!MB23</f>
        <v>0</v>
      </c>
      <c r="FE21" s="1428">
        <f>'Проверочная  таблица'!LP23</f>
        <v>0</v>
      </c>
      <c r="FF21" s="1397"/>
      <c r="FG21" s="1425">
        <f>'Проверочная  таблица'!MB23</f>
        <v>0</v>
      </c>
      <c r="FH21" s="104">
        <f>'Проверочная  таблица'!LK23+'Проверочная  таблица'!LY23</f>
        <v>0</v>
      </c>
      <c r="FI21" s="1428">
        <f>'Проверочная  таблица'!LK23</f>
        <v>0</v>
      </c>
      <c r="FJ21" s="1397"/>
      <c r="FK21" s="1425">
        <f>'Проверочная  таблица'!LY23</f>
        <v>0</v>
      </c>
      <c r="FL21" s="104">
        <f>'Проверочная  таблица'!LR23+'Проверочная  таблица'!MD23</f>
        <v>0</v>
      </c>
      <c r="FM21" s="1428">
        <f>'Проверочная  таблица'!LR23</f>
        <v>0</v>
      </c>
      <c r="FN21" s="1397"/>
      <c r="FO21" s="1425">
        <f>'Проверочная  таблица'!MD23</f>
        <v>0</v>
      </c>
      <c r="FP21" s="104">
        <f>'Проверочная  таблица'!LM23</f>
        <v>0</v>
      </c>
      <c r="FQ21" s="1397"/>
      <c r="FR21" s="1397"/>
      <c r="FS21" s="1398"/>
      <c r="FT21" s="101">
        <f>'Проверочная  таблица'!LT23</f>
        <v>0</v>
      </c>
      <c r="FU21" s="1397"/>
      <c r="FV21" s="1397"/>
      <c r="FW21" s="1397"/>
      <c r="FX21" s="104">
        <f>'Проверочная  таблица'!NE23</f>
        <v>0</v>
      </c>
      <c r="FY21" s="1428"/>
      <c r="FZ21" s="1397">
        <f t="shared" si="22"/>
        <v>0</v>
      </c>
      <c r="GA21" s="1398"/>
      <c r="GB21" s="101">
        <f>'Проверочная  таблица'!NH23</f>
        <v>0</v>
      </c>
      <c r="GC21" s="1397"/>
      <c r="GD21" s="1397">
        <f t="shared" si="23"/>
        <v>0</v>
      </c>
      <c r="GE21" s="1398"/>
      <c r="GF21" s="103">
        <f>'Проверочная  таблица'!NW23</f>
        <v>0</v>
      </c>
      <c r="GG21" s="1397"/>
      <c r="GH21" s="1397"/>
      <c r="GI21" s="1398"/>
      <c r="GJ21" s="103">
        <f>'Проверочная  таблица'!NZ23</f>
        <v>0</v>
      </c>
      <c r="GK21" s="1397"/>
      <c r="GL21" s="1397"/>
      <c r="GM21" s="1398"/>
      <c r="GN21" s="101">
        <f>'Проверочная  таблица'!OW23+'Проверочная  таблица'!PM23</f>
        <v>0</v>
      </c>
      <c r="GO21" s="1397"/>
      <c r="GP21" s="1397">
        <f t="shared" si="24"/>
        <v>0</v>
      </c>
      <c r="GQ21" s="1398"/>
      <c r="GR21" s="101">
        <f>'Проверочная  таблица'!PD23+'Проверочная  таблица'!PV23</f>
        <v>0</v>
      </c>
      <c r="GS21" s="1397"/>
      <c r="GT21" s="1397">
        <f t="shared" si="25"/>
        <v>0</v>
      </c>
      <c r="GU21" s="1398"/>
      <c r="GV21" s="103">
        <f>'Проверочная  таблица'!PI23</f>
        <v>0</v>
      </c>
      <c r="GW21" s="1428"/>
      <c r="GX21" s="1397">
        <f t="shared" si="26"/>
        <v>0</v>
      </c>
      <c r="GY21" s="1398"/>
      <c r="GZ21" s="103">
        <f>'Проверочная  таблица'!PR23</f>
        <v>0</v>
      </c>
      <c r="HA21" s="1397"/>
      <c r="HB21" s="1397">
        <f t="shared" si="27"/>
        <v>0</v>
      </c>
      <c r="HC21" s="1398"/>
      <c r="HD21" s="103">
        <f>'Проверочная  таблица'!OU23+'Проверочная  таблица'!PK23</f>
        <v>0</v>
      </c>
      <c r="HE21" s="1428">
        <f>'Проверочная  таблица'!OU23</f>
        <v>0</v>
      </c>
      <c r="HF21" s="1397">
        <f>'Проверочная  таблица'!PK23</f>
        <v>0</v>
      </c>
      <c r="HG21" s="1398"/>
      <c r="HH21" s="103">
        <f>'Проверочная  таблица'!PB23+'Проверочная  таблица'!PT23</f>
        <v>0</v>
      </c>
      <c r="HI21" s="1428">
        <f>'Проверочная  таблица'!PB23</f>
        <v>0</v>
      </c>
      <c r="HJ21" s="1397">
        <f>'Проверочная  таблица'!PT23</f>
        <v>0</v>
      </c>
      <c r="HK21" s="1398"/>
      <c r="HL21" s="103">
        <f>'Проверочная  таблица'!OY23+'Проверочная  таблица'!PO23</f>
        <v>0</v>
      </c>
      <c r="HM21" s="1397">
        <f t="shared" si="28"/>
        <v>0</v>
      </c>
      <c r="HN21" s="1425"/>
      <c r="HO21" s="1398"/>
      <c r="HP21" s="103">
        <f>'Проверочная  таблица'!PF23+'Проверочная  таблица'!PX23</f>
        <v>0</v>
      </c>
      <c r="HQ21" s="1397">
        <f t="shared" si="29"/>
        <v>0</v>
      </c>
      <c r="HR21" s="1397"/>
      <c r="HS21" s="1397"/>
    </row>
    <row r="22" spans="1:227" ht="25.5" customHeight="1" x14ac:dyDescent="0.3">
      <c r="A22" s="105" t="s">
        <v>100</v>
      </c>
      <c r="B22" s="1445">
        <f t="shared" si="13"/>
        <v>-3.6088749766349792E-9</v>
      </c>
      <c r="C22" s="1445">
        <f t="shared" si="14"/>
        <v>1.1641532182693481E-10</v>
      </c>
      <c r="D22" s="269">
        <f t="shared" si="15"/>
        <v>113633359.44</v>
      </c>
      <c r="E22" s="1420">
        <f t="shared" si="0"/>
        <v>112662633.53</v>
      </c>
      <c r="F22" s="1420">
        <f t="shared" si="0"/>
        <v>970725.91</v>
      </c>
      <c r="G22" s="1420">
        <f t="shared" si="0"/>
        <v>0</v>
      </c>
      <c r="H22" s="269">
        <f t="shared" si="1"/>
        <v>29096430.27</v>
      </c>
      <c r="I22" s="1420">
        <f t="shared" si="2"/>
        <v>28125704.359999999</v>
      </c>
      <c r="J22" s="1420">
        <f t="shared" si="3"/>
        <v>970725.91</v>
      </c>
      <c r="K22" s="1420">
        <f t="shared" si="4"/>
        <v>0</v>
      </c>
      <c r="L22" s="104">
        <f>'Проверочная  таблица'!DE24+'Проверочная  таблица'!DG24</f>
        <v>0</v>
      </c>
      <c r="M22" s="1428">
        <f>'Проверочная  таблица'!DE24</f>
        <v>0</v>
      </c>
      <c r="N22" s="1397"/>
      <c r="O22" s="1425">
        <f>'Проверочная  таблица'!DG24</f>
        <v>0</v>
      </c>
      <c r="P22" s="104">
        <f>'Проверочная  таблица'!DF24+'Проверочная  таблица'!DH24</f>
        <v>0</v>
      </c>
      <c r="Q22" s="1428">
        <f>'Проверочная  таблица'!DF24</f>
        <v>0</v>
      </c>
      <c r="R22" s="1397"/>
      <c r="S22" s="1425">
        <f>'Проверочная  таблица'!DH24</f>
        <v>0</v>
      </c>
      <c r="T22" s="104">
        <f>'Проверочная  таблица'!DX24</f>
        <v>0</v>
      </c>
      <c r="U22" s="1397">
        <f t="shared" si="5"/>
        <v>0</v>
      </c>
      <c r="V22" s="1397"/>
      <c r="W22" s="1398"/>
      <c r="X22" s="101">
        <f>'Проверочная  таблица'!EF24</f>
        <v>0</v>
      </c>
      <c r="Y22" s="1397">
        <f t="shared" si="6"/>
        <v>0</v>
      </c>
      <c r="Z22" s="1397"/>
      <c r="AA22" s="1397"/>
      <c r="AB22" s="104">
        <f>'Проверочная  таблица'!DZ24</f>
        <v>0</v>
      </c>
      <c r="AC22" s="1397">
        <f t="shared" si="7"/>
        <v>0</v>
      </c>
      <c r="AD22" s="1397"/>
      <c r="AE22" s="1398"/>
      <c r="AF22" s="103">
        <f>'Проверочная  таблица'!EH24</f>
        <v>0</v>
      </c>
      <c r="AG22" s="1397">
        <f t="shared" si="8"/>
        <v>0</v>
      </c>
      <c r="AH22" s="1397"/>
      <c r="AI22" s="1398"/>
      <c r="AJ22" s="103">
        <f>'Проверочная  таблица'!EU24</f>
        <v>0</v>
      </c>
      <c r="AK22" s="1397">
        <f t="shared" si="9"/>
        <v>0</v>
      </c>
      <c r="AL22" s="1397"/>
      <c r="AM22" s="1398"/>
      <c r="AN22" s="101">
        <f>'Проверочная  таблица'!EX24</f>
        <v>0</v>
      </c>
      <c r="AO22" s="1397">
        <f t="shared" si="10"/>
        <v>0</v>
      </c>
      <c r="AP22" s="1397"/>
      <c r="AQ22" s="1398"/>
      <c r="AR22" s="103">
        <f>'Проверочная  таблица'!FG24</f>
        <v>2721180</v>
      </c>
      <c r="AS22" s="1397">
        <f t="shared" si="11"/>
        <v>2721180</v>
      </c>
      <c r="AT22" s="1397"/>
      <c r="AU22" s="1398"/>
      <c r="AV22" s="103">
        <f>'Проверочная  таблица'!FL24</f>
        <v>0</v>
      </c>
      <c r="AW22" s="1397">
        <f t="shared" si="12"/>
        <v>0</v>
      </c>
      <c r="AX22" s="1397"/>
      <c r="AY22" s="1398"/>
      <c r="AZ22" s="101">
        <f>'Проверочная  таблица'!FI24</f>
        <v>0</v>
      </c>
      <c r="BA22" s="1397"/>
      <c r="BB22" s="1397"/>
      <c r="BC22" s="1398"/>
      <c r="BD22" s="101">
        <f>'Проверочная  таблица'!FN24</f>
        <v>0</v>
      </c>
      <c r="BE22" s="1397"/>
      <c r="BF22" s="1397"/>
      <c r="BG22" s="1398"/>
      <c r="BH22" s="103">
        <f>'Проверочная  таблица'!FQ24</f>
        <v>109931525.98999999</v>
      </c>
      <c r="BI22" s="1397">
        <f t="shared" si="16"/>
        <v>109931525.98999999</v>
      </c>
      <c r="BJ22" s="1425"/>
      <c r="BK22" s="1398"/>
      <c r="BL22" s="101">
        <f>'Проверочная  таблица'!FT24</f>
        <v>28115776.82</v>
      </c>
      <c r="BM22" s="1397">
        <f t="shared" si="17"/>
        <v>28115776.82</v>
      </c>
      <c r="BN22" s="1397"/>
      <c r="BO22" s="1398"/>
      <c r="BP22" s="101">
        <f>'Проверочная  таблица'!FW24</f>
        <v>0</v>
      </c>
      <c r="BQ22" s="1397"/>
      <c r="BR22" s="1397"/>
      <c r="BS22" s="1398"/>
      <c r="BT22" s="101">
        <f>'Проверочная  таблица'!FZ24</f>
        <v>0</v>
      </c>
      <c r="BU22" s="1397"/>
      <c r="BV22" s="1397"/>
      <c r="BW22" s="1397"/>
      <c r="BX22" s="104">
        <f>'Проверочная  таблица'!GC24+'Проверочная  таблица'!GI24</f>
        <v>970725.91</v>
      </c>
      <c r="BY22" s="1428">
        <f>'Проверочная  таблица'!GC24</f>
        <v>0</v>
      </c>
      <c r="BZ22" s="1397">
        <f>'Проверочная  таблица'!GO24</f>
        <v>970725.91</v>
      </c>
      <c r="CA22" s="1425">
        <f>'Проверочная  таблица'!GU24</f>
        <v>0</v>
      </c>
      <c r="CB22" s="104">
        <f>'Проверочная  таблица'!GF24+'Проверочная  таблица'!GL24</f>
        <v>970725.91</v>
      </c>
      <c r="CC22" s="1428">
        <f>'Проверочная  таблица'!GF24</f>
        <v>0</v>
      </c>
      <c r="CD22" s="1397">
        <f>'Проверочная  таблица'!GR24</f>
        <v>970725.91</v>
      </c>
      <c r="CE22" s="1425">
        <f>'Проверочная  таблица'!GX24</f>
        <v>0</v>
      </c>
      <c r="CF22" s="104">
        <f>'Проверочная  таблица'!HI24+'Проверочная  таблица'!IA24</f>
        <v>9927.5400000000009</v>
      </c>
      <c r="CG22" s="1428">
        <f>'Проверочная  таблица'!HI24</f>
        <v>9927.5400000000009</v>
      </c>
      <c r="CH22" s="1397"/>
      <c r="CI22" s="1425">
        <f>'Проверочная  таблица'!JK24</f>
        <v>0</v>
      </c>
      <c r="CJ22" s="104">
        <f>'Проверочная  таблица'!IJ24+'Проверочная  таблица'!HR24</f>
        <v>9927.5400000000009</v>
      </c>
      <c r="CK22" s="1428">
        <f>'Проверочная  таблица'!HR24</f>
        <v>9927.5400000000009</v>
      </c>
      <c r="CL22" s="1397"/>
      <c r="CM22" s="1425">
        <f>'Проверочная  таблица'!JT24</f>
        <v>0</v>
      </c>
      <c r="CN22" s="104">
        <f>'Проверочная  таблица'!HK24+'Проверочная  таблица'!IC24</f>
        <v>0</v>
      </c>
      <c r="CO22" s="1428">
        <f>'Проверочная  таблица'!HK24</f>
        <v>0</v>
      </c>
      <c r="CP22" s="1397">
        <f>'Проверочная  таблица'!IU24</f>
        <v>0</v>
      </c>
      <c r="CQ22" s="1425">
        <f>'Проверочная  таблица'!JM24</f>
        <v>0</v>
      </c>
      <c r="CR22" s="104">
        <f>'Проверочная  таблица'!IL24+'Проверочная  таблица'!HT24</f>
        <v>0</v>
      </c>
      <c r="CS22" s="1428">
        <f>'Проверочная  таблица'!HT24</f>
        <v>0</v>
      </c>
      <c r="CT22" s="1397">
        <f>'Проверочная  таблица'!JD24</f>
        <v>0</v>
      </c>
      <c r="CU22" s="1425">
        <f>'Проверочная  таблица'!JV24</f>
        <v>0</v>
      </c>
      <c r="CV22" s="104">
        <f>'Проверочная  таблица'!HM24+'Проверочная  таблица'!IE24</f>
        <v>0</v>
      </c>
      <c r="CW22" s="1397"/>
      <c r="CX22" s="1397"/>
      <c r="CY22" s="1398"/>
      <c r="CZ22" s="103">
        <f>'Проверочная  таблица'!HV24+'Проверочная  таблица'!IN24</f>
        <v>0</v>
      </c>
      <c r="DA22" s="1397"/>
      <c r="DB22" s="1397"/>
      <c r="DC22" s="1398"/>
      <c r="DD22" s="103">
        <f>'Проверочная  таблица'!HG24+'Проверочная  таблица'!HY24</f>
        <v>0</v>
      </c>
      <c r="DE22" s="1428"/>
      <c r="DF22" s="1397">
        <f t="shared" si="18"/>
        <v>0</v>
      </c>
      <c r="DG22" s="1398"/>
      <c r="DH22" s="101">
        <f>'Проверочная  таблица'!IH24+'Проверочная  таблица'!HP24</f>
        <v>0</v>
      </c>
      <c r="DI22" s="1397"/>
      <c r="DJ22" s="1397">
        <f t="shared" si="19"/>
        <v>0</v>
      </c>
      <c r="DK22" s="1398"/>
      <c r="DL22" s="103">
        <f>'Проверочная  таблица'!KA24</f>
        <v>0</v>
      </c>
      <c r="DM22" s="1443">
        <f t="shared" si="20"/>
        <v>0</v>
      </c>
      <c r="DN22" s="1425"/>
      <c r="DO22" s="1398"/>
      <c r="DP22" s="103">
        <f>'Проверочная  таблица'!KF24</f>
        <v>0</v>
      </c>
      <c r="DQ22" s="1443">
        <f t="shared" si="21"/>
        <v>0</v>
      </c>
      <c r="DR22" s="1397"/>
      <c r="DS22" s="1398"/>
      <c r="DT22" s="101">
        <f>'Проверочная  таблица'!KC24</f>
        <v>0</v>
      </c>
      <c r="DU22" s="1397"/>
      <c r="DV22" s="1397"/>
      <c r="DW22" s="1398"/>
      <c r="DX22" s="103">
        <f>'Проверочная  таблица'!KH24</f>
        <v>0</v>
      </c>
      <c r="DY22" s="1397"/>
      <c r="DZ22" s="1397"/>
      <c r="EA22" s="1398"/>
      <c r="EB22" s="103">
        <f>'Проверочная  таблица'!KL24</f>
        <v>0</v>
      </c>
      <c r="EC22" s="1397"/>
      <c r="ED22" s="1397"/>
      <c r="EE22" s="1398"/>
      <c r="EF22" s="101">
        <f>'Проверочная  таблица'!KR24</f>
        <v>0</v>
      </c>
      <c r="EG22" s="1397"/>
      <c r="EH22" s="1397"/>
      <c r="EI22" s="1398"/>
      <c r="EJ22" s="101">
        <f>'Проверочная  таблица'!KN24</f>
        <v>0</v>
      </c>
      <c r="EK22" s="1397"/>
      <c r="EL22" s="1397"/>
      <c r="EM22" s="1398"/>
      <c r="EN22" s="101">
        <f>'Проверочная  таблица'!KT24</f>
        <v>0</v>
      </c>
      <c r="EO22" s="1397"/>
      <c r="EP22" s="1397"/>
      <c r="EQ22" s="1398"/>
      <c r="ER22" s="103">
        <f>'Проверочная  таблица'!KX24</f>
        <v>0</v>
      </c>
      <c r="ES22" s="1397"/>
      <c r="ET22" s="1397"/>
      <c r="EU22" s="1398"/>
      <c r="EV22" s="101">
        <f>'Проверочная  таблица'!LB24</f>
        <v>0</v>
      </c>
      <c r="EW22" s="1397"/>
      <c r="EX22" s="1397"/>
      <c r="EY22" s="1397"/>
      <c r="EZ22" s="104">
        <f>'Проверочная  таблица'!LI24+'Проверочная  таблица'!LW24</f>
        <v>0</v>
      </c>
      <c r="FA22" s="1428">
        <f>'Проверочная  таблица'!LI24</f>
        <v>0</v>
      </c>
      <c r="FB22" s="1397"/>
      <c r="FC22" s="1425">
        <f>'Проверочная  таблица'!LW24</f>
        <v>0</v>
      </c>
      <c r="FD22" s="104">
        <f>'Проверочная  таблица'!LP24+'Проверочная  таблица'!MB24</f>
        <v>0</v>
      </c>
      <c r="FE22" s="1428">
        <f>'Проверочная  таблица'!LP24</f>
        <v>0</v>
      </c>
      <c r="FF22" s="1397"/>
      <c r="FG22" s="1425">
        <f>'Проверочная  таблица'!MB24</f>
        <v>0</v>
      </c>
      <c r="FH22" s="104">
        <f>'Проверочная  таблица'!LK24+'Проверочная  таблица'!LY24</f>
        <v>0</v>
      </c>
      <c r="FI22" s="1428">
        <f>'Проверочная  таблица'!LK24</f>
        <v>0</v>
      </c>
      <c r="FJ22" s="1397"/>
      <c r="FK22" s="1425">
        <f>'Проверочная  таблица'!LY24</f>
        <v>0</v>
      </c>
      <c r="FL22" s="104">
        <f>'Проверочная  таблица'!LR24+'Проверочная  таблица'!MD24</f>
        <v>0</v>
      </c>
      <c r="FM22" s="1428">
        <f>'Проверочная  таблица'!LR24</f>
        <v>0</v>
      </c>
      <c r="FN22" s="1397"/>
      <c r="FO22" s="1425">
        <f>'Проверочная  таблица'!MD24</f>
        <v>0</v>
      </c>
      <c r="FP22" s="104">
        <f>'Проверочная  таблица'!LM24</f>
        <v>0</v>
      </c>
      <c r="FQ22" s="1397"/>
      <c r="FR22" s="1397"/>
      <c r="FS22" s="1398"/>
      <c r="FT22" s="101">
        <f>'Проверочная  таблица'!LT24</f>
        <v>0</v>
      </c>
      <c r="FU22" s="1397"/>
      <c r="FV22" s="1397"/>
      <c r="FW22" s="1397"/>
      <c r="FX22" s="104">
        <f>'Проверочная  таблица'!NE24</f>
        <v>0</v>
      </c>
      <c r="FY22" s="1428"/>
      <c r="FZ22" s="1397">
        <f t="shared" si="22"/>
        <v>0</v>
      </c>
      <c r="GA22" s="1398"/>
      <c r="GB22" s="101">
        <f>'Проверочная  таблица'!NH24</f>
        <v>0</v>
      </c>
      <c r="GC22" s="1397"/>
      <c r="GD22" s="1397">
        <f t="shared" si="23"/>
        <v>0</v>
      </c>
      <c r="GE22" s="1398"/>
      <c r="GF22" s="103">
        <f>'Проверочная  таблица'!NW24</f>
        <v>0</v>
      </c>
      <c r="GG22" s="1397"/>
      <c r="GH22" s="1397"/>
      <c r="GI22" s="1398"/>
      <c r="GJ22" s="103">
        <f>'Проверочная  таблица'!NZ24</f>
        <v>0</v>
      </c>
      <c r="GK22" s="1397"/>
      <c r="GL22" s="1397"/>
      <c r="GM22" s="1398"/>
      <c r="GN22" s="101">
        <f>'Проверочная  таблица'!OW24+'Проверочная  таблица'!PM24</f>
        <v>0</v>
      </c>
      <c r="GO22" s="1397"/>
      <c r="GP22" s="1397">
        <f t="shared" si="24"/>
        <v>0</v>
      </c>
      <c r="GQ22" s="1398"/>
      <c r="GR22" s="101">
        <f>'Проверочная  таблица'!PD24+'Проверочная  таблица'!PV24</f>
        <v>0</v>
      </c>
      <c r="GS22" s="1397"/>
      <c r="GT22" s="1397">
        <f t="shared" si="25"/>
        <v>0</v>
      </c>
      <c r="GU22" s="1398"/>
      <c r="GV22" s="103">
        <f>'Проверочная  таблица'!PI24</f>
        <v>0</v>
      </c>
      <c r="GW22" s="1428"/>
      <c r="GX22" s="1397">
        <f t="shared" si="26"/>
        <v>0</v>
      </c>
      <c r="GY22" s="1398"/>
      <c r="GZ22" s="103">
        <f>'Проверочная  таблица'!PR24</f>
        <v>0</v>
      </c>
      <c r="HA22" s="1397"/>
      <c r="HB22" s="1397">
        <f t="shared" si="27"/>
        <v>0</v>
      </c>
      <c r="HC22" s="1398"/>
      <c r="HD22" s="103">
        <f>'Проверочная  таблица'!OU24+'Проверочная  таблица'!PK24</f>
        <v>0</v>
      </c>
      <c r="HE22" s="1428">
        <f>'Проверочная  таблица'!OU24</f>
        <v>0</v>
      </c>
      <c r="HF22" s="1397">
        <f>'Проверочная  таблица'!PK24</f>
        <v>0</v>
      </c>
      <c r="HG22" s="1398"/>
      <c r="HH22" s="103">
        <f>'Проверочная  таблица'!PB24+'Проверочная  таблица'!PT24</f>
        <v>0</v>
      </c>
      <c r="HI22" s="1428">
        <f>'Проверочная  таблица'!PB24</f>
        <v>0</v>
      </c>
      <c r="HJ22" s="1397">
        <f>'Проверочная  таблица'!PT24</f>
        <v>0</v>
      </c>
      <c r="HK22" s="1398"/>
      <c r="HL22" s="103">
        <f>'Проверочная  таблица'!OY24+'Проверочная  таблица'!PO24</f>
        <v>0</v>
      </c>
      <c r="HM22" s="1397">
        <f t="shared" si="28"/>
        <v>0</v>
      </c>
      <c r="HN22" s="1425"/>
      <c r="HO22" s="1398"/>
      <c r="HP22" s="103">
        <f>'Проверочная  таблица'!PF24+'Проверочная  таблица'!PX24</f>
        <v>0</v>
      </c>
      <c r="HQ22" s="1397">
        <f t="shared" si="29"/>
        <v>0</v>
      </c>
      <c r="HR22" s="1397"/>
      <c r="HS22" s="1397"/>
    </row>
    <row r="23" spans="1:227" ht="25.5" customHeight="1" x14ac:dyDescent="0.3">
      <c r="A23" s="102" t="s">
        <v>101</v>
      </c>
      <c r="B23" s="1445">
        <f t="shared" si="13"/>
        <v>0</v>
      </c>
      <c r="C23" s="1445">
        <f t="shared" si="14"/>
        <v>0</v>
      </c>
      <c r="D23" s="269">
        <f t="shared" si="15"/>
        <v>978999.57</v>
      </c>
      <c r="E23" s="1420">
        <f t="shared" si="0"/>
        <v>8272.9499999999989</v>
      </c>
      <c r="F23" s="1420">
        <f t="shared" si="0"/>
        <v>970726.62</v>
      </c>
      <c r="G23" s="1420">
        <f t="shared" si="0"/>
        <v>0</v>
      </c>
      <c r="H23" s="269">
        <f t="shared" si="1"/>
        <v>978999.57</v>
      </c>
      <c r="I23" s="1420">
        <f t="shared" si="2"/>
        <v>8272.9499999999989</v>
      </c>
      <c r="J23" s="1420">
        <f t="shared" si="3"/>
        <v>970726.62</v>
      </c>
      <c r="K23" s="1420">
        <f t="shared" si="4"/>
        <v>0</v>
      </c>
      <c r="L23" s="104">
        <f>'Проверочная  таблица'!DE25+'Проверочная  таблица'!DG25</f>
        <v>0</v>
      </c>
      <c r="M23" s="1428">
        <f>'Проверочная  таблица'!DE25</f>
        <v>0</v>
      </c>
      <c r="N23" s="1397"/>
      <c r="O23" s="1425">
        <f>'Проверочная  таблица'!DG25</f>
        <v>0</v>
      </c>
      <c r="P23" s="104">
        <f>'Проверочная  таблица'!DF25+'Проверочная  таблица'!DH25</f>
        <v>0</v>
      </c>
      <c r="Q23" s="1428">
        <f>'Проверочная  таблица'!DF25</f>
        <v>0</v>
      </c>
      <c r="R23" s="1397"/>
      <c r="S23" s="1425">
        <f>'Проверочная  таблица'!DH25</f>
        <v>0</v>
      </c>
      <c r="T23" s="104">
        <f>'Проверочная  таблица'!DX25</f>
        <v>0</v>
      </c>
      <c r="U23" s="1397">
        <f t="shared" si="5"/>
        <v>0</v>
      </c>
      <c r="V23" s="1397"/>
      <c r="W23" s="1398"/>
      <c r="X23" s="101">
        <f>'Проверочная  таблица'!EF25</f>
        <v>0</v>
      </c>
      <c r="Y23" s="1397">
        <f t="shared" si="6"/>
        <v>0</v>
      </c>
      <c r="Z23" s="1397"/>
      <c r="AA23" s="1397"/>
      <c r="AB23" s="104">
        <f>'Проверочная  таблица'!DZ25</f>
        <v>0</v>
      </c>
      <c r="AC23" s="1397">
        <f t="shared" si="7"/>
        <v>0</v>
      </c>
      <c r="AD23" s="1397"/>
      <c r="AE23" s="1398"/>
      <c r="AF23" s="103">
        <f>'Проверочная  таблица'!EH25</f>
        <v>0</v>
      </c>
      <c r="AG23" s="1397">
        <f t="shared" si="8"/>
        <v>0</v>
      </c>
      <c r="AH23" s="1397"/>
      <c r="AI23" s="1398"/>
      <c r="AJ23" s="103">
        <f>'Проверочная  таблица'!EU25</f>
        <v>0</v>
      </c>
      <c r="AK23" s="1397">
        <f t="shared" si="9"/>
        <v>0</v>
      </c>
      <c r="AL23" s="1397"/>
      <c r="AM23" s="1398"/>
      <c r="AN23" s="101">
        <f>'Проверочная  таблица'!EX25</f>
        <v>0</v>
      </c>
      <c r="AO23" s="1397">
        <f t="shared" si="10"/>
        <v>0</v>
      </c>
      <c r="AP23" s="1397"/>
      <c r="AQ23" s="1398"/>
      <c r="AR23" s="103">
        <f>'Проверочная  таблица'!FG25</f>
        <v>0</v>
      </c>
      <c r="AS23" s="1397">
        <f t="shared" si="11"/>
        <v>0</v>
      </c>
      <c r="AT23" s="1397"/>
      <c r="AU23" s="1398"/>
      <c r="AV23" s="103">
        <f>'Проверочная  таблица'!FL25</f>
        <v>0</v>
      </c>
      <c r="AW23" s="1397">
        <f t="shared" si="12"/>
        <v>0</v>
      </c>
      <c r="AX23" s="1397"/>
      <c r="AY23" s="1398"/>
      <c r="AZ23" s="101">
        <f>'Проверочная  таблица'!FI25</f>
        <v>0</v>
      </c>
      <c r="BA23" s="1397"/>
      <c r="BB23" s="1397"/>
      <c r="BC23" s="1398"/>
      <c r="BD23" s="101">
        <f>'Проверочная  таблица'!FN25</f>
        <v>0</v>
      </c>
      <c r="BE23" s="1397"/>
      <c r="BF23" s="1397"/>
      <c r="BG23" s="1398"/>
      <c r="BH23" s="103">
        <f>'Проверочная  таблица'!FQ25</f>
        <v>0</v>
      </c>
      <c r="BI23" s="1397">
        <f t="shared" si="16"/>
        <v>0</v>
      </c>
      <c r="BJ23" s="1425"/>
      <c r="BK23" s="1398"/>
      <c r="BL23" s="101">
        <f>'Проверочная  таблица'!FT25</f>
        <v>0</v>
      </c>
      <c r="BM23" s="1397">
        <f t="shared" si="17"/>
        <v>0</v>
      </c>
      <c r="BN23" s="1397"/>
      <c r="BO23" s="1398"/>
      <c r="BP23" s="101">
        <f>'Проверочная  таблица'!FW25</f>
        <v>0</v>
      </c>
      <c r="BQ23" s="1397"/>
      <c r="BR23" s="1397"/>
      <c r="BS23" s="1398"/>
      <c r="BT23" s="101">
        <f>'Проверочная  таблица'!FZ25</f>
        <v>0</v>
      </c>
      <c r="BU23" s="1397"/>
      <c r="BV23" s="1397"/>
      <c r="BW23" s="1397"/>
      <c r="BX23" s="104">
        <f>'Проверочная  таблица'!GC25+'Проверочная  таблица'!GI25</f>
        <v>970726.62</v>
      </c>
      <c r="BY23" s="1428">
        <f>'Проверочная  таблица'!GC25</f>
        <v>0</v>
      </c>
      <c r="BZ23" s="1397">
        <f>'Проверочная  таблица'!GO25</f>
        <v>970726.62</v>
      </c>
      <c r="CA23" s="1425">
        <f>'Проверочная  таблица'!GU25</f>
        <v>0</v>
      </c>
      <c r="CB23" s="104">
        <f>'Проверочная  таблица'!GF25+'Проверочная  таблица'!GL25</f>
        <v>970726.62</v>
      </c>
      <c r="CC23" s="1428">
        <f>'Проверочная  таблица'!GF25</f>
        <v>0</v>
      </c>
      <c r="CD23" s="1397">
        <f>'Проверочная  таблица'!GR25</f>
        <v>970726.62</v>
      </c>
      <c r="CE23" s="1425">
        <f>'Проверочная  таблица'!GX25</f>
        <v>0</v>
      </c>
      <c r="CF23" s="104">
        <f>'Проверочная  таблица'!HI25+'Проверочная  таблица'!IA25</f>
        <v>8272.9499999999989</v>
      </c>
      <c r="CG23" s="1428">
        <f>'Проверочная  таблица'!HI25</f>
        <v>8272.9499999999989</v>
      </c>
      <c r="CH23" s="1397"/>
      <c r="CI23" s="1425">
        <f>'Проверочная  таблица'!JK25</f>
        <v>0</v>
      </c>
      <c r="CJ23" s="104">
        <f>'Проверочная  таблица'!IJ25+'Проверочная  таблица'!HR25</f>
        <v>8272.9499999999989</v>
      </c>
      <c r="CK23" s="1428">
        <f>'Проверочная  таблица'!HR25</f>
        <v>8272.9499999999989</v>
      </c>
      <c r="CL23" s="1397"/>
      <c r="CM23" s="1425">
        <f>'Проверочная  таблица'!JT25</f>
        <v>0</v>
      </c>
      <c r="CN23" s="104">
        <f>'Проверочная  таблица'!HK25+'Проверочная  таблица'!IC25</f>
        <v>0</v>
      </c>
      <c r="CO23" s="1428">
        <f>'Проверочная  таблица'!HK25</f>
        <v>0</v>
      </c>
      <c r="CP23" s="1397">
        <f>'Проверочная  таблица'!IU25</f>
        <v>0</v>
      </c>
      <c r="CQ23" s="1425">
        <f>'Проверочная  таблица'!JM25</f>
        <v>0</v>
      </c>
      <c r="CR23" s="104">
        <f>'Проверочная  таблица'!IL25+'Проверочная  таблица'!HT25</f>
        <v>0</v>
      </c>
      <c r="CS23" s="1428">
        <f>'Проверочная  таблица'!HT25</f>
        <v>0</v>
      </c>
      <c r="CT23" s="1397">
        <f>'Проверочная  таблица'!JD25</f>
        <v>0</v>
      </c>
      <c r="CU23" s="1425">
        <f>'Проверочная  таблица'!JV25</f>
        <v>0</v>
      </c>
      <c r="CV23" s="104">
        <f>'Проверочная  таблица'!HM25+'Проверочная  таблица'!IE25</f>
        <v>0</v>
      </c>
      <c r="CW23" s="1397"/>
      <c r="CX23" s="1397"/>
      <c r="CY23" s="1398"/>
      <c r="CZ23" s="103">
        <f>'Проверочная  таблица'!HV25+'Проверочная  таблица'!IN25</f>
        <v>0</v>
      </c>
      <c r="DA23" s="1397"/>
      <c r="DB23" s="1397"/>
      <c r="DC23" s="1398"/>
      <c r="DD23" s="103">
        <f>'Проверочная  таблица'!HG25+'Проверочная  таблица'!HY25</f>
        <v>0</v>
      </c>
      <c r="DE23" s="1428"/>
      <c r="DF23" s="1397">
        <f t="shared" si="18"/>
        <v>0</v>
      </c>
      <c r="DG23" s="1398"/>
      <c r="DH23" s="101">
        <f>'Проверочная  таблица'!IH25+'Проверочная  таблица'!HP25</f>
        <v>0</v>
      </c>
      <c r="DI23" s="1397"/>
      <c r="DJ23" s="1397">
        <f t="shared" si="19"/>
        <v>0</v>
      </c>
      <c r="DK23" s="1398"/>
      <c r="DL23" s="103">
        <f>'Проверочная  таблица'!KA25</f>
        <v>0</v>
      </c>
      <c r="DM23" s="1443">
        <f t="shared" si="20"/>
        <v>0</v>
      </c>
      <c r="DN23" s="1425"/>
      <c r="DO23" s="1398"/>
      <c r="DP23" s="103">
        <f>'Проверочная  таблица'!KF25</f>
        <v>0</v>
      </c>
      <c r="DQ23" s="1443">
        <f t="shared" si="21"/>
        <v>0</v>
      </c>
      <c r="DR23" s="1397"/>
      <c r="DS23" s="1398"/>
      <c r="DT23" s="101">
        <f>'Проверочная  таблица'!KC25</f>
        <v>0</v>
      </c>
      <c r="DU23" s="1397"/>
      <c r="DV23" s="1397"/>
      <c r="DW23" s="1398"/>
      <c r="DX23" s="103">
        <f>'Проверочная  таблица'!KH25</f>
        <v>0</v>
      </c>
      <c r="DY23" s="1397"/>
      <c r="DZ23" s="1397"/>
      <c r="EA23" s="1398"/>
      <c r="EB23" s="103">
        <f>'Проверочная  таблица'!KL25</f>
        <v>0</v>
      </c>
      <c r="EC23" s="1397"/>
      <c r="ED23" s="1397"/>
      <c r="EE23" s="1398"/>
      <c r="EF23" s="101">
        <f>'Проверочная  таблица'!KR25</f>
        <v>0</v>
      </c>
      <c r="EG23" s="1397"/>
      <c r="EH23" s="1397"/>
      <c r="EI23" s="1398"/>
      <c r="EJ23" s="101">
        <f>'Проверочная  таблица'!KN25</f>
        <v>0</v>
      </c>
      <c r="EK23" s="1397"/>
      <c r="EL23" s="1397"/>
      <c r="EM23" s="1398"/>
      <c r="EN23" s="101">
        <f>'Проверочная  таблица'!KT25</f>
        <v>0</v>
      </c>
      <c r="EO23" s="1397"/>
      <c r="EP23" s="1397"/>
      <c r="EQ23" s="1398"/>
      <c r="ER23" s="103">
        <f>'Проверочная  таблица'!KX25</f>
        <v>0</v>
      </c>
      <c r="ES23" s="1397"/>
      <c r="ET23" s="1397"/>
      <c r="EU23" s="1398"/>
      <c r="EV23" s="101">
        <f>'Проверочная  таблица'!LB25</f>
        <v>0</v>
      </c>
      <c r="EW23" s="1397"/>
      <c r="EX23" s="1397"/>
      <c r="EY23" s="1397"/>
      <c r="EZ23" s="104">
        <f>'Проверочная  таблица'!LI25+'Проверочная  таблица'!LW25</f>
        <v>0</v>
      </c>
      <c r="FA23" s="1428">
        <f>'Проверочная  таблица'!LI25</f>
        <v>0</v>
      </c>
      <c r="FB23" s="1397"/>
      <c r="FC23" s="1425">
        <f>'Проверочная  таблица'!LW25</f>
        <v>0</v>
      </c>
      <c r="FD23" s="104">
        <f>'Проверочная  таблица'!LP25+'Проверочная  таблица'!MB25</f>
        <v>0</v>
      </c>
      <c r="FE23" s="1428">
        <f>'Проверочная  таблица'!LP25</f>
        <v>0</v>
      </c>
      <c r="FF23" s="1397"/>
      <c r="FG23" s="1425">
        <f>'Проверочная  таблица'!MB25</f>
        <v>0</v>
      </c>
      <c r="FH23" s="104">
        <f>'Проверочная  таблица'!LK25+'Проверочная  таблица'!LY25</f>
        <v>0</v>
      </c>
      <c r="FI23" s="1428">
        <f>'Проверочная  таблица'!LK25</f>
        <v>0</v>
      </c>
      <c r="FJ23" s="1397"/>
      <c r="FK23" s="1425">
        <f>'Проверочная  таблица'!LY25</f>
        <v>0</v>
      </c>
      <c r="FL23" s="104">
        <f>'Проверочная  таблица'!LR25+'Проверочная  таблица'!MD25</f>
        <v>0</v>
      </c>
      <c r="FM23" s="1428">
        <f>'Проверочная  таблица'!LR25</f>
        <v>0</v>
      </c>
      <c r="FN23" s="1397"/>
      <c r="FO23" s="1425">
        <f>'Проверочная  таблица'!MD25</f>
        <v>0</v>
      </c>
      <c r="FP23" s="104">
        <f>'Проверочная  таблица'!LM25</f>
        <v>0</v>
      </c>
      <c r="FQ23" s="1397"/>
      <c r="FR23" s="1397"/>
      <c r="FS23" s="1398"/>
      <c r="FT23" s="101">
        <f>'Проверочная  таблица'!LT25</f>
        <v>0</v>
      </c>
      <c r="FU23" s="1397"/>
      <c r="FV23" s="1397"/>
      <c r="FW23" s="1397"/>
      <c r="FX23" s="104">
        <f>'Проверочная  таблица'!NE25</f>
        <v>0</v>
      </c>
      <c r="FY23" s="1428"/>
      <c r="FZ23" s="1397">
        <f t="shared" si="22"/>
        <v>0</v>
      </c>
      <c r="GA23" s="1398"/>
      <c r="GB23" s="101">
        <f>'Проверочная  таблица'!NH25</f>
        <v>0</v>
      </c>
      <c r="GC23" s="1397"/>
      <c r="GD23" s="1397">
        <f t="shared" si="23"/>
        <v>0</v>
      </c>
      <c r="GE23" s="1398"/>
      <c r="GF23" s="103">
        <f>'Проверочная  таблица'!NW25</f>
        <v>0</v>
      </c>
      <c r="GG23" s="1397"/>
      <c r="GH23" s="1397"/>
      <c r="GI23" s="1398"/>
      <c r="GJ23" s="103">
        <f>'Проверочная  таблица'!NZ25</f>
        <v>0</v>
      </c>
      <c r="GK23" s="1397"/>
      <c r="GL23" s="1397"/>
      <c r="GM23" s="1398"/>
      <c r="GN23" s="101">
        <f>'Проверочная  таблица'!OW25+'Проверочная  таблица'!PM25</f>
        <v>0</v>
      </c>
      <c r="GO23" s="1397"/>
      <c r="GP23" s="1397">
        <f t="shared" si="24"/>
        <v>0</v>
      </c>
      <c r="GQ23" s="1398"/>
      <c r="GR23" s="101">
        <f>'Проверочная  таблица'!PD25+'Проверочная  таблица'!PV25</f>
        <v>0</v>
      </c>
      <c r="GS23" s="1397"/>
      <c r="GT23" s="1397">
        <f t="shared" si="25"/>
        <v>0</v>
      </c>
      <c r="GU23" s="1398"/>
      <c r="GV23" s="103">
        <f>'Проверочная  таблица'!PI25</f>
        <v>0</v>
      </c>
      <c r="GW23" s="1428"/>
      <c r="GX23" s="1397">
        <f t="shared" si="26"/>
        <v>0</v>
      </c>
      <c r="GY23" s="1398"/>
      <c r="GZ23" s="103">
        <f>'Проверочная  таблица'!PR25</f>
        <v>0</v>
      </c>
      <c r="HA23" s="1397"/>
      <c r="HB23" s="1397">
        <f t="shared" si="27"/>
        <v>0</v>
      </c>
      <c r="HC23" s="1398"/>
      <c r="HD23" s="103">
        <f>'Проверочная  таблица'!OU25+'Проверочная  таблица'!PK25</f>
        <v>0</v>
      </c>
      <c r="HE23" s="1428">
        <f>'Проверочная  таблица'!OU25</f>
        <v>0</v>
      </c>
      <c r="HF23" s="1397">
        <f>'Проверочная  таблица'!PK25</f>
        <v>0</v>
      </c>
      <c r="HG23" s="1398"/>
      <c r="HH23" s="103">
        <f>'Проверочная  таблица'!PB25+'Проверочная  таблица'!PT25</f>
        <v>0</v>
      </c>
      <c r="HI23" s="1428">
        <f>'Проверочная  таблица'!PB25</f>
        <v>0</v>
      </c>
      <c r="HJ23" s="1397">
        <f>'Проверочная  таблица'!PT25</f>
        <v>0</v>
      </c>
      <c r="HK23" s="1398"/>
      <c r="HL23" s="103">
        <f>'Проверочная  таблица'!OY25+'Проверочная  таблица'!PO25</f>
        <v>0</v>
      </c>
      <c r="HM23" s="1397">
        <f t="shared" si="28"/>
        <v>0</v>
      </c>
      <c r="HN23" s="1425"/>
      <c r="HO23" s="1398"/>
      <c r="HP23" s="103">
        <f>'Проверочная  таблица'!PF25+'Проверочная  таблица'!PX25</f>
        <v>0</v>
      </c>
      <c r="HQ23" s="1397">
        <f t="shared" si="29"/>
        <v>0</v>
      </c>
      <c r="HR23" s="1397"/>
      <c r="HS23" s="1397"/>
    </row>
    <row r="24" spans="1:227" ht="25.5" customHeight="1" x14ac:dyDescent="0.3">
      <c r="A24" s="105" t="s">
        <v>102</v>
      </c>
      <c r="B24" s="1445">
        <f t="shared" si="13"/>
        <v>-1.4551915228366852E-10</v>
      </c>
      <c r="C24" s="1445">
        <f t="shared" si="14"/>
        <v>-1.4551915228366852E-10</v>
      </c>
      <c r="D24" s="269">
        <f t="shared" si="15"/>
        <v>10253405.210000001</v>
      </c>
      <c r="E24" s="1420">
        <f t="shared" si="0"/>
        <v>10036685.620000001</v>
      </c>
      <c r="F24" s="1420">
        <f t="shared" si="0"/>
        <v>216719.59</v>
      </c>
      <c r="G24" s="1420">
        <f t="shared" si="0"/>
        <v>0</v>
      </c>
      <c r="H24" s="269">
        <f t="shared" si="1"/>
        <v>7291817.6700000009</v>
      </c>
      <c r="I24" s="1420">
        <f t="shared" si="2"/>
        <v>7075098.080000001</v>
      </c>
      <c r="J24" s="1420">
        <f t="shared" si="3"/>
        <v>216719.59</v>
      </c>
      <c r="K24" s="1420">
        <f t="shared" si="4"/>
        <v>0</v>
      </c>
      <c r="L24" s="104">
        <f>'Проверочная  таблица'!DE26+'Проверочная  таблица'!DG26</f>
        <v>0</v>
      </c>
      <c r="M24" s="1428">
        <f>'Проверочная  таблица'!DE26</f>
        <v>0</v>
      </c>
      <c r="N24" s="1397"/>
      <c r="O24" s="1425">
        <f>'Проверочная  таблица'!DG26</f>
        <v>0</v>
      </c>
      <c r="P24" s="104">
        <f>'Проверочная  таблица'!DF26+'Проверочная  таблица'!DH26</f>
        <v>0</v>
      </c>
      <c r="Q24" s="1428">
        <f>'Проверочная  таблица'!DF26</f>
        <v>0</v>
      </c>
      <c r="R24" s="1397"/>
      <c r="S24" s="1425">
        <f>'Проверочная  таблица'!DH26</f>
        <v>0</v>
      </c>
      <c r="T24" s="104">
        <f>'Проверочная  таблица'!DX26</f>
        <v>0</v>
      </c>
      <c r="U24" s="1397">
        <f t="shared" si="5"/>
        <v>0</v>
      </c>
      <c r="V24" s="1397"/>
      <c r="W24" s="1398"/>
      <c r="X24" s="101">
        <f>'Проверочная  таблица'!EF26</f>
        <v>0</v>
      </c>
      <c r="Y24" s="1397">
        <f t="shared" si="6"/>
        <v>0</v>
      </c>
      <c r="Z24" s="1397"/>
      <c r="AA24" s="1397"/>
      <c r="AB24" s="104">
        <f>'Проверочная  таблица'!DZ26</f>
        <v>0</v>
      </c>
      <c r="AC24" s="1397">
        <f t="shared" si="7"/>
        <v>0</v>
      </c>
      <c r="AD24" s="1397"/>
      <c r="AE24" s="1398"/>
      <c r="AF24" s="103">
        <f>'Проверочная  таблица'!EH26</f>
        <v>0</v>
      </c>
      <c r="AG24" s="1397">
        <f t="shared" si="8"/>
        <v>0</v>
      </c>
      <c r="AH24" s="1397"/>
      <c r="AI24" s="1398"/>
      <c r="AJ24" s="103">
        <f>'Проверочная  таблица'!EU26</f>
        <v>0</v>
      </c>
      <c r="AK24" s="1397">
        <f t="shared" si="9"/>
        <v>0</v>
      </c>
      <c r="AL24" s="1397"/>
      <c r="AM24" s="1398"/>
      <c r="AN24" s="101">
        <f>'Проверочная  таблица'!EX26</f>
        <v>0</v>
      </c>
      <c r="AO24" s="1397">
        <f t="shared" si="10"/>
        <v>0</v>
      </c>
      <c r="AP24" s="1397"/>
      <c r="AQ24" s="1398"/>
      <c r="AR24" s="103">
        <f>'Проверочная  таблица'!FG26</f>
        <v>2721180</v>
      </c>
      <c r="AS24" s="1397">
        <f t="shared" si="11"/>
        <v>2721180</v>
      </c>
      <c r="AT24" s="1397"/>
      <c r="AU24" s="1398"/>
      <c r="AV24" s="103">
        <f>'Проверочная  таблица'!FL26</f>
        <v>0</v>
      </c>
      <c r="AW24" s="1397">
        <f t="shared" si="12"/>
        <v>0</v>
      </c>
      <c r="AX24" s="1397"/>
      <c r="AY24" s="1398"/>
      <c r="AZ24" s="101">
        <f>'Проверочная  таблица'!FI26</f>
        <v>0</v>
      </c>
      <c r="BA24" s="1397"/>
      <c r="BB24" s="1397"/>
      <c r="BC24" s="1398"/>
      <c r="BD24" s="101">
        <f>'Проверочная  таблица'!FN26</f>
        <v>0</v>
      </c>
      <c r="BE24" s="1397"/>
      <c r="BF24" s="1397"/>
      <c r="BG24" s="1398"/>
      <c r="BH24" s="103">
        <f>'Проверочная  таблица'!FQ26</f>
        <v>0</v>
      </c>
      <c r="BI24" s="1397">
        <f t="shared" si="16"/>
        <v>0</v>
      </c>
      <c r="BJ24" s="1425"/>
      <c r="BK24" s="1398"/>
      <c r="BL24" s="101">
        <f>'Проверочная  таблица'!FT26</f>
        <v>0</v>
      </c>
      <c r="BM24" s="1397">
        <f t="shared" si="17"/>
        <v>0</v>
      </c>
      <c r="BN24" s="1397"/>
      <c r="BO24" s="1398"/>
      <c r="BP24" s="101">
        <f>'Проверочная  таблица'!FW26</f>
        <v>0</v>
      </c>
      <c r="BQ24" s="1397"/>
      <c r="BR24" s="1397"/>
      <c r="BS24" s="1398"/>
      <c r="BT24" s="101">
        <f>'Проверочная  таблица'!FZ26</f>
        <v>0</v>
      </c>
      <c r="BU24" s="1397"/>
      <c r="BV24" s="1397"/>
      <c r="BW24" s="1397"/>
      <c r="BX24" s="104">
        <f>'Проверочная  таблица'!GC26+'Проверочная  таблица'!GI26</f>
        <v>970725.90999999992</v>
      </c>
      <c r="BY24" s="1428">
        <f>'Проверочная  таблица'!GC26</f>
        <v>754006.32</v>
      </c>
      <c r="BZ24" s="1397">
        <f>'Проверочная  таблица'!GO26</f>
        <v>216719.59</v>
      </c>
      <c r="CA24" s="1425">
        <f>'Проверочная  таблица'!GU26</f>
        <v>0</v>
      </c>
      <c r="CB24" s="104">
        <f>'Проверочная  таблица'!GF26+'Проверочная  таблица'!GL26</f>
        <v>730318.37</v>
      </c>
      <c r="CC24" s="1428">
        <f>'Проверочная  таблица'!GF26</f>
        <v>513598.78</v>
      </c>
      <c r="CD24" s="1397">
        <f>'Проверочная  таблица'!GR26</f>
        <v>216719.59</v>
      </c>
      <c r="CE24" s="1425">
        <f>'Проверочная  таблица'!GX26</f>
        <v>0</v>
      </c>
      <c r="CF24" s="104">
        <f>'Проверочная  таблица'!HI26+'Проверочная  таблица'!IA26</f>
        <v>12409.42</v>
      </c>
      <c r="CG24" s="1428">
        <f>'Проверочная  таблица'!HI26</f>
        <v>12409.42</v>
      </c>
      <c r="CH24" s="1397"/>
      <c r="CI24" s="1425">
        <f>'Проверочная  таблица'!JK26</f>
        <v>0</v>
      </c>
      <c r="CJ24" s="104">
        <f>'Проверочная  таблица'!IJ26+'Проверочная  таблица'!HR26</f>
        <v>12409.42</v>
      </c>
      <c r="CK24" s="1428">
        <f>'Проверочная  таблица'!HR26</f>
        <v>12409.42</v>
      </c>
      <c r="CL24" s="1397"/>
      <c r="CM24" s="1425">
        <f>'Проверочная  таблица'!JT26</f>
        <v>0</v>
      </c>
      <c r="CN24" s="104">
        <f>'Проверочная  таблица'!HK26+'Проверочная  таблица'!IC26</f>
        <v>0</v>
      </c>
      <c r="CO24" s="1428">
        <f>'Проверочная  таблица'!HK26</f>
        <v>0</v>
      </c>
      <c r="CP24" s="1397">
        <f>'Проверочная  таблица'!IU26</f>
        <v>0</v>
      </c>
      <c r="CQ24" s="1425">
        <f>'Проверочная  таблица'!JM26</f>
        <v>0</v>
      </c>
      <c r="CR24" s="104">
        <f>'Проверочная  таблица'!IL26+'Проверочная  таблица'!HT26</f>
        <v>0</v>
      </c>
      <c r="CS24" s="1428">
        <f>'Проверочная  таблица'!HT26</f>
        <v>0</v>
      </c>
      <c r="CT24" s="1397">
        <f>'Проверочная  таблица'!JD26</f>
        <v>0</v>
      </c>
      <c r="CU24" s="1425">
        <f>'Проверочная  таблица'!JV26</f>
        <v>0</v>
      </c>
      <c r="CV24" s="104">
        <f>'Проверочная  таблица'!HM26+'Проверочная  таблица'!IE26</f>
        <v>0</v>
      </c>
      <c r="CW24" s="1397"/>
      <c r="CX24" s="1397"/>
      <c r="CY24" s="1398"/>
      <c r="CZ24" s="103">
        <f>'Проверочная  таблица'!HV26+'Проверочная  таблица'!IN26</f>
        <v>0</v>
      </c>
      <c r="DA24" s="1397"/>
      <c r="DB24" s="1397"/>
      <c r="DC24" s="1398"/>
      <c r="DD24" s="103">
        <f>'Проверочная  таблица'!HG26+'Проверочная  таблица'!HY26</f>
        <v>0</v>
      </c>
      <c r="DE24" s="1428"/>
      <c r="DF24" s="1397">
        <f t="shared" si="18"/>
        <v>0</v>
      </c>
      <c r="DG24" s="1398"/>
      <c r="DH24" s="101">
        <f>'Проверочная  таблица'!IH26+'Проверочная  таблица'!HP26</f>
        <v>0</v>
      </c>
      <c r="DI24" s="1397"/>
      <c r="DJ24" s="1397">
        <f t="shared" si="19"/>
        <v>0</v>
      </c>
      <c r="DK24" s="1398"/>
      <c r="DL24" s="103">
        <f>'Проверочная  таблица'!KA26</f>
        <v>0</v>
      </c>
      <c r="DM24" s="1443">
        <f t="shared" si="20"/>
        <v>0</v>
      </c>
      <c r="DN24" s="1425"/>
      <c r="DO24" s="1398"/>
      <c r="DP24" s="103">
        <f>'Проверочная  таблица'!KF26</f>
        <v>0</v>
      </c>
      <c r="DQ24" s="1443">
        <f t="shared" si="21"/>
        <v>0</v>
      </c>
      <c r="DR24" s="1397"/>
      <c r="DS24" s="1398"/>
      <c r="DT24" s="101">
        <f>'Проверочная  таблица'!KC26</f>
        <v>0</v>
      </c>
      <c r="DU24" s="1397"/>
      <c r="DV24" s="1397"/>
      <c r="DW24" s="1398"/>
      <c r="DX24" s="103">
        <f>'Проверочная  таблица'!KH26</f>
        <v>0</v>
      </c>
      <c r="DY24" s="1397"/>
      <c r="DZ24" s="1397"/>
      <c r="EA24" s="1398"/>
      <c r="EB24" s="103">
        <f>'Проверочная  таблица'!KL26</f>
        <v>0</v>
      </c>
      <c r="EC24" s="1397"/>
      <c r="ED24" s="1397"/>
      <c r="EE24" s="1398"/>
      <c r="EF24" s="101">
        <f>'Проверочная  таблица'!KR26</f>
        <v>0</v>
      </c>
      <c r="EG24" s="1397"/>
      <c r="EH24" s="1397"/>
      <c r="EI24" s="1398"/>
      <c r="EJ24" s="101">
        <f>'Проверочная  таблица'!KN26</f>
        <v>0</v>
      </c>
      <c r="EK24" s="1397"/>
      <c r="EL24" s="1397"/>
      <c r="EM24" s="1398"/>
      <c r="EN24" s="101">
        <f>'Проверочная  таблица'!KT26</f>
        <v>0</v>
      </c>
      <c r="EO24" s="1397"/>
      <c r="EP24" s="1397"/>
      <c r="EQ24" s="1398"/>
      <c r="ER24" s="103">
        <f>'Проверочная  таблица'!KX26</f>
        <v>0</v>
      </c>
      <c r="ES24" s="1397"/>
      <c r="ET24" s="1397"/>
      <c r="EU24" s="1398"/>
      <c r="EV24" s="101">
        <f>'Проверочная  таблица'!LB26</f>
        <v>0</v>
      </c>
      <c r="EW24" s="1397"/>
      <c r="EX24" s="1397"/>
      <c r="EY24" s="1397"/>
      <c r="EZ24" s="104">
        <f>'Проверочная  таблица'!LI26+'Проверочная  таблица'!LW26</f>
        <v>0</v>
      </c>
      <c r="FA24" s="1428">
        <f>'Проверочная  таблица'!LI26</f>
        <v>0</v>
      </c>
      <c r="FB24" s="1397"/>
      <c r="FC24" s="1425">
        <f>'Проверочная  таблица'!LW26</f>
        <v>0</v>
      </c>
      <c r="FD24" s="104">
        <f>'Проверочная  таблица'!LP26+'Проверочная  таблица'!MB26</f>
        <v>0</v>
      </c>
      <c r="FE24" s="1428">
        <f>'Проверочная  таблица'!LP26</f>
        <v>0</v>
      </c>
      <c r="FF24" s="1397"/>
      <c r="FG24" s="1425">
        <f>'Проверочная  таблица'!MB26</f>
        <v>0</v>
      </c>
      <c r="FH24" s="104">
        <f>'Проверочная  таблица'!LK26+'Проверочная  таблица'!LY26</f>
        <v>0</v>
      </c>
      <c r="FI24" s="1428">
        <f>'Проверочная  таблица'!LK26</f>
        <v>0</v>
      </c>
      <c r="FJ24" s="1397"/>
      <c r="FK24" s="1425">
        <f>'Проверочная  таблица'!LY26</f>
        <v>0</v>
      </c>
      <c r="FL24" s="104">
        <f>'Проверочная  таблица'!LR26+'Проверочная  таблица'!MD26</f>
        <v>0</v>
      </c>
      <c r="FM24" s="1428">
        <f>'Проверочная  таблица'!LR26</f>
        <v>0</v>
      </c>
      <c r="FN24" s="1397"/>
      <c r="FO24" s="1425">
        <f>'Проверочная  таблица'!MD26</f>
        <v>0</v>
      </c>
      <c r="FP24" s="104">
        <f>'Проверочная  таблица'!LM26</f>
        <v>0</v>
      </c>
      <c r="FQ24" s="1397"/>
      <c r="FR24" s="1397"/>
      <c r="FS24" s="1398"/>
      <c r="FT24" s="101">
        <f>'Проверочная  таблица'!LT26</f>
        <v>0</v>
      </c>
      <c r="FU24" s="1397"/>
      <c r="FV24" s="1397"/>
      <c r="FW24" s="1397"/>
      <c r="FX24" s="104">
        <f>'Проверочная  таблица'!NE26</f>
        <v>0</v>
      </c>
      <c r="FY24" s="1428"/>
      <c r="FZ24" s="1397">
        <f t="shared" si="22"/>
        <v>0</v>
      </c>
      <c r="GA24" s="1398"/>
      <c r="GB24" s="101">
        <f>'Проверочная  таблица'!NH26</f>
        <v>0</v>
      </c>
      <c r="GC24" s="1397"/>
      <c r="GD24" s="1397">
        <f t="shared" si="23"/>
        <v>0</v>
      </c>
      <c r="GE24" s="1398"/>
      <c r="GF24" s="103">
        <f>'Проверочная  таблица'!NW26</f>
        <v>0</v>
      </c>
      <c r="GG24" s="1397"/>
      <c r="GH24" s="1397"/>
      <c r="GI24" s="1398"/>
      <c r="GJ24" s="103">
        <f>'Проверочная  таблица'!NZ26</f>
        <v>0</v>
      </c>
      <c r="GK24" s="1397"/>
      <c r="GL24" s="1397"/>
      <c r="GM24" s="1398"/>
      <c r="GN24" s="101">
        <f>'Проверочная  таблица'!OW26+'Проверочная  таблица'!PM26</f>
        <v>0</v>
      </c>
      <c r="GO24" s="1397"/>
      <c r="GP24" s="1397">
        <f t="shared" si="24"/>
        <v>0</v>
      </c>
      <c r="GQ24" s="1398"/>
      <c r="GR24" s="101">
        <f>'Проверочная  таблица'!PD26+'Проверочная  таблица'!PV26</f>
        <v>0</v>
      </c>
      <c r="GS24" s="1397"/>
      <c r="GT24" s="1397">
        <f t="shared" si="25"/>
        <v>0</v>
      </c>
      <c r="GU24" s="1398"/>
      <c r="GV24" s="103">
        <f>'Проверочная  таблица'!PI26</f>
        <v>0</v>
      </c>
      <c r="GW24" s="1428"/>
      <c r="GX24" s="1397">
        <f t="shared" si="26"/>
        <v>0</v>
      </c>
      <c r="GY24" s="1398"/>
      <c r="GZ24" s="103">
        <f>'Проверочная  таблица'!PR26</f>
        <v>0</v>
      </c>
      <c r="HA24" s="1397"/>
      <c r="HB24" s="1397">
        <f t="shared" si="27"/>
        <v>0</v>
      </c>
      <c r="HC24" s="1398"/>
      <c r="HD24" s="103">
        <f>'Проверочная  таблица'!OU26+'Проверочная  таблица'!PK26</f>
        <v>0</v>
      </c>
      <c r="HE24" s="1428">
        <f>'Проверочная  таблица'!OU26</f>
        <v>0</v>
      </c>
      <c r="HF24" s="1397">
        <f>'Проверочная  таблица'!PK26</f>
        <v>0</v>
      </c>
      <c r="HG24" s="1398"/>
      <c r="HH24" s="103">
        <f>'Проверочная  таблица'!PB26+'Проверочная  таблица'!PT26</f>
        <v>0</v>
      </c>
      <c r="HI24" s="1428">
        <f>'Проверочная  таблица'!PB26</f>
        <v>0</v>
      </c>
      <c r="HJ24" s="1397">
        <f>'Проверочная  таблица'!PT26</f>
        <v>0</v>
      </c>
      <c r="HK24" s="1398"/>
      <c r="HL24" s="103">
        <f>'Проверочная  таблица'!OY26+'Проверочная  таблица'!PO26</f>
        <v>6549089.8799999999</v>
      </c>
      <c r="HM24" s="1397">
        <f t="shared" si="28"/>
        <v>6549089.8799999999</v>
      </c>
      <c r="HN24" s="1425"/>
      <c r="HO24" s="1398"/>
      <c r="HP24" s="103">
        <f>'Проверочная  таблица'!PF26+'Проверочная  таблица'!PX26</f>
        <v>6549089.8800000008</v>
      </c>
      <c r="HQ24" s="1397">
        <f t="shared" si="29"/>
        <v>6549089.8800000008</v>
      </c>
      <c r="HR24" s="1397"/>
      <c r="HS24" s="1397"/>
    </row>
    <row r="25" spans="1:227" ht="25.5" customHeight="1" x14ac:dyDescent="0.3">
      <c r="A25" s="102" t="s">
        <v>103</v>
      </c>
      <c r="B25" s="1445">
        <f t="shared" si="13"/>
        <v>2.514570951461792E-8</v>
      </c>
      <c r="C25" s="1445">
        <f t="shared" si="14"/>
        <v>1.0086296242661774E-8</v>
      </c>
      <c r="D25" s="269">
        <f t="shared" si="15"/>
        <v>167302320.80000001</v>
      </c>
      <c r="E25" s="1420">
        <f t="shared" si="0"/>
        <v>160921600.16999999</v>
      </c>
      <c r="F25" s="1420">
        <f t="shared" si="0"/>
        <v>1151997.8</v>
      </c>
      <c r="G25" s="1420">
        <f t="shared" si="0"/>
        <v>5228722.83</v>
      </c>
      <c r="H25" s="269">
        <f t="shared" si="1"/>
        <v>114323098.84999999</v>
      </c>
      <c r="I25" s="1420">
        <f t="shared" si="2"/>
        <v>113167378.21999998</v>
      </c>
      <c r="J25" s="1420">
        <f t="shared" si="3"/>
        <v>1151997.8</v>
      </c>
      <c r="K25" s="1420">
        <f t="shared" si="4"/>
        <v>3722.83</v>
      </c>
      <c r="L25" s="104">
        <f>'Проверочная  таблица'!DE27+'Проверочная  таблица'!DG27</f>
        <v>0</v>
      </c>
      <c r="M25" s="1428">
        <f>'Проверочная  таблица'!DE27</f>
        <v>0</v>
      </c>
      <c r="N25" s="1397"/>
      <c r="O25" s="1425">
        <f>'Проверочная  таблица'!DG27</f>
        <v>0</v>
      </c>
      <c r="P25" s="104">
        <f>'Проверочная  таблица'!DF27+'Проверочная  таблица'!DH27</f>
        <v>0</v>
      </c>
      <c r="Q25" s="1428">
        <f>'Проверочная  таблица'!DF27</f>
        <v>0</v>
      </c>
      <c r="R25" s="1397"/>
      <c r="S25" s="1425">
        <f>'Проверочная  таблица'!DH27</f>
        <v>0</v>
      </c>
      <c r="T25" s="104">
        <f>'Проверочная  таблица'!DX27</f>
        <v>0</v>
      </c>
      <c r="U25" s="1397">
        <f t="shared" si="5"/>
        <v>0</v>
      </c>
      <c r="V25" s="1397"/>
      <c r="W25" s="1398"/>
      <c r="X25" s="101">
        <f>'Проверочная  таблица'!EF27</f>
        <v>0</v>
      </c>
      <c r="Y25" s="1397">
        <f t="shared" si="6"/>
        <v>0</v>
      </c>
      <c r="Z25" s="1397"/>
      <c r="AA25" s="1397"/>
      <c r="AB25" s="104">
        <f>'Проверочная  таблица'!DZ27</f>
        <v>1842356.4</v>
      </c>
      <c r="AC25" s="1397">
        <f t="shared" si="7"/>
        <v>1842356.4</v>
      </c>
      <c r="AD25" s="1397"/>
      <c r="AE25" s="1398"/>
      <c r="AF25" s="103">
        <f>'Проверочная  таблица'!EH27</f>
        <v>0</v>
      </c>
      <c r="AG25" s="1397">
        <f t="shared" si="8"/>
        <v>0</v>
      </c>
      <c r="AH25" s="1397"/>
      <c r="AI25" s="1398"/>
      <c r="AJ25" s="103">
        <f>'Проверочная  таблица'!EU27</f>
        <v>0</v>
      </c>
      <c r="AK25" s="1397">
        <f t="shared" si="9"/>
        <v>0</v>
      </c>
      <c r="AL25" s="1397"/>
      <c r="AM25" s="1398"/>
      <c r="AN25" s="101">
        <f>'Проверочная  таблица'!EX27</f>
        <v>0</v>
      </c>
      <c r="AO25" s="1397">
        <f t="shared" si="10"/>
        <v>0</v>
      </c>
      <c r="AP25" s="1397"/>
      <c r="AQ25" s="1398"/>
      <c r="AR25" s="103">
        <f>'Проверочная  таблица'!FG27</f>
        <v>2721180</v>
      </c>
      <c r="AS25" s="1397">
        <f t="shared" si="11"/>
        <v>2721180</v>
      </c>
      <c r="AT25" s="1397"/>
      <c r="AU25" s="1398"/>
      <c r="AV25" s="103">
        <f>'Проверочная  таблица'!FL27</f>
        <v>0</v>
      </c>
      <c r="AW25" s="1397">
        <f t="shared" si="12"/>
        <v>0</v>
      </c>
      <c r="AX25" s="1397"/>
      <c r="AY25" s="1398"/>
      <c r="AZ25" s="101">
        <f>'Проверочная  таблица'!FI27</f>
        <v>0</v>
      </c>
      <c r="BA25" s="1397"/>
      <c r="BB25" s="1397"/>
      <c r="BC25" s="1398"/>
      <c r="BD25" s="101">
        <f>'Проверочная  таблица'!FN27</f>
        <v>0</v>
      </c>
      <c r="BE25" s="1397"/>
      <c r="BF25" s="1397"/>
      <c r="BG25" s="1398"/>
      <c r="BH25" s="103">
        <f>'Проверочная  таблица'!FQ27</f>
        <v>0</v>
      </c>
      <c r="BI25" s="1397">
        <f t="shared" si="16"/>
        <v>0</v>
      </c>
      <c r="BJ25" s="1425"/>
      <c r="BK25" s="1398"/>
      <c r="BL25" s="101">
        <f>'Проверочная  таблица'!FT27</f>
        <v>0</v>
      </c>
      <c r="BM25" s="1397">
        <f t="shared" si="17"/>
        <v>0</v>
      </c>
      <c r="BN25" s="1397"/>
      <c r="BO25" s="1398"/>
      <c r="BP25" s="101">
        <f>'Проверочная  таблица'!FW27</f>
        <v>0</v>
      </c>
      <c r="BQ25" s="1397"/>
      <c r="BR25" s="1397"/>
      <c r="BS25" s="1398"/>
      <c r="BT25" s="101">
        <f>'Проверочная  таблица'!FZ27</f>
        <v>0</v>
      </c>
      <c r="BU25" s="1397"/>
      <c r="BV25" s="1397"/>
      <c r="BW25" s="1397"/>
      <c r="BX25" s="104">
        <f>'Проверочная  таблица'!GC27+'Проверочная  таблица'!GI27</f>
        <v>1151997.8</v>
      </c>
      <c r="BY25" s="1428">
        <f>'Проверочная  таблица'!GC27</f>
        <v>0</v>
      </c>
      <c r="BZ25" s="1397">
        <f>'Проверочная  таблица'!GO27</f>
        <v>1151997.8</v>
      </c>
      <c r="CA25" s="1425">
        <f>'Проверочная  таблица'!GU27</f>
        <v>0</v>
      </c>
      <c r="CB25" s="104">
        <f>'Проверочная  таблица'!GF27+'Проверочная  таблица'!GL27</f>
        <v>1151997.8</v>
      </c>
      <c r="CC25" s="1428">
        <f>'Проверочная  таблица'!GF27</f>
        <v>0</v>
      </c>
      <c r="CD25" s="1397">
        <f>'Проверочная  таблица'!GR27</f>
        <v>1151997.8</v>
      </c>
      <c r="CE25" s="1425">
        <f>'Проверочная  таблица'!GX27</f>
        <v>0</v>
      </c>
      <c r="CF25" s="104">
        <f>'Проверочная  таблица'!HI27+'Проверочная  таблица'!IA27</f>
        <v>8686.6</v>
      </c>
      <c r="CG25" s="1428">
        <f>'Проверочная  таблица'!HI27</f>
        <v>4963.7700000000004</v>
      </c>
      <c r="CH25" s="1397"/>
      <c r="CI25" s="1425">
        <f>'Проверочная  таблица'!JK27</f>
        <v>3722.83</v>
      </c>
      <c r="CJ25" s="104">
        <f>'Проверочная  таблица'!IJ27+'Проверочная  таблица'!HR27</f>
        <v>8686.6</v>
      </c>
      <c r="CK25" s="1428">
        <f>'Проверочная  таблица'!HR27</f>
        <v>4963.7700000000004</v>
      </c>
      <c r="CL25" s="1397"/>
      <c r="CM25" s="1425">
        <f>'Проверочная  таблица'!JT27</f>
        <v>3722.83</v>
      </c>
      <c r="CN25" s="104">
        <f>'Проверочная  таблица'!HK27+'Проверочная  таблица'!IC27</f>
        <v>0</v>
      </c>
      <c r="CO25" s="1428">
        <f>'Проверочная  таблица'!HK27</f>
        <v>0</v>
      </c>
      <c r="CP25" s="1397">
        <f>'Проверочная  таблица'!IU27</f>
        <v>0</v>
      </c>
      <c r="CQ25" s="1425">
        <f>'Проверочная  таблица'!JM27</f>
        <v>0</v>
      </c>
      <c r="CR25" s="104">
        <f>'Проверочная  таблица'!IL27+'Проверочная  таблица'!HT27</f>
        <v>0</v>
      </c>
      <c r="CS25" s="1428">
        <f>'Проверочная  таблица'!HT27</f>
        <v>0</v>
      </c>
      <c r="CT25" s="1397">
        <f>'Проверочная  таблица'!JD27</f>
        <v>0</v>
      </c>
      <c r="CU25" s="1425">
        <f>'Проверочная  таблица'!JV27</f>
        <v>0</v>
      </c>
      <c r="CV25" s="104">
        <f>'Проверочная  таблица'!HM27+'Проверочная  таблица'!IE27</f>
        <v>0</v>
      </c>
      <c r="CW25" s="1397"/>
      <c r="CX25" s="1397"/>
      <c r="CY25" s="1398"/>
      <c r="CZ25" s="103">
        <f>'Проверочная  таблица'!HV27+'Проверочная  таблица'!IN27</f>
        <v>0</v>
      </c>
      <c r="DA25" s="1397"/>
      <c r="DB25" s="1397"/>
      <c r="DC25" s="1398"/>
      <c r="DD25" s="103">
        <f>'Проверочная  таблица'!HG27+'Проверочная  таблица'!HY27</f>
        <v>0</v>
      </c>
      <c r="DE25" s="1428"/>
      <c r="DF25" s="1397">
        <f t="shared" si="18"/>
        <v>0</v>
      </c>
      <c r="DG25" s="1398"/>
      <c r="DH25" s="101">
        <f>'Проверочная  таблица'!IH27+'Проверочная  таблица'!HP27</f>
        <v>0</v>
      </c>
      <c r="DI25" s="1397"/>
      <c r="DJ25" s="1397">
        <f t="shared" si="19"/>
        <v>0</v>
      </c>
      <c r="DK25" s="1398"/>
      <c r="DL25" s="103">
        <f>'Проверочная  таблица'!KA27</f>
        <v>156353100</v>
      </c>
      <c r="DM25" s="1443">
        <f t="shared" si="20"/>
        <v>156353100</v>
      </c>
      <c r="DN25" s="1425"/>
      <c r="DO25" s="1398"/>
      <c r="DP25" s="103">
        <f>'Проверочная  таблица'!KF27</f>
        <v>113162414.44999999</v>
      </c>
      <c r="DQ25" s="1443">
        <f t="shared" si="21"/>
        <v>113162414.44999999</v>
      </c>
      <c r="DR25" s="1397"/>
      <c r="DS25" s="1398"/>
      <c r="DT25" s="101">
        <f>'Проверочная  таблица'!KC27</f>
        <v>0</v>
      </c>
      <c r="DU25" s="1397"/>
      <c r="DV25" s="1397"/>
      <c r="DW25" s="1398"/>
      <c r="DX25" s="103">
        <f>'Проверочная  таблица'!KH27</f>
        <v>0</v>
      </c>
      <c r="DY25" s="1397"/>
      <c r="DZ25" s="1397"/>
      <c r="EA25" s="1398"/>
      <c r="EB25" s="103">
        <f>'Проверочная  таблица'!KL27</f>
        <v>0</v>
      </c>
      <c r="EC25" s="1397"/>
      <c r="ED25" s="1397"/>
      <c r="EE25" s="1398"/>
      <c r="EF25" s="101">
        <f>'Проверочная  таблица'!KR27</f>
        <v>0</v>
      </c>
      <c r="EG25" s="1397"/>
      <c r="EH25" s="1397"/>
      <c r="EI25" s="1398"/>
      <c r="EJ25" s="101">
        <f>'Проверочная  таблица'!KN27</f>
        <v>0</v>
      </c>
      <c r="EK25" s="1397"/>
      <c r="EL25" s="1397"/>
      <c r="EM25" s="1398"/>
      <c r="EN25" s="101">
        <f>'Проверочная  таблица'!KT27</f>
        <v>0</v>
      </c>
      <c r="EO25" s="1397"/>
      <c r="EP25" s="1397"/>
      <c r="EQ25" s="1398"/>
      <c r="ER25" s="103">
        <f>'Проверочная  таблица'!KX27</f>
        <v>0</v>
      </c>
      <c r="ES25" s="1397"/>
      <c r="ET25" s="1397"/>
      <c r="EU25" s="1398"/>
      <c r="EV25" s="101">
        <f>'Проверочная  таблица'!LB27</f>
        <v>0</v>
      </c>
      <c r="EW25" s="1397"/>
      <c r="EX25" s="1397"/>
      <c r="EY25" s="1397"/>
      <c r="EZ25" s="104">
        <f>'Проверочная  таблица'!LI27+'Проверочная  таблица'!LW27</f>
        <v>5225000</v>
      </c>
      <c r="FA25" s="1428">
        <f>'Проверочная  таблица'!LI27</f>
        <v>0</v>
      </c>
      <c r="FB25" s="1397"/>
      <c r="FC25" s="1425">
        <f>'Проверочная  таблица'!LW27</f>
        <v>5225000</v>
      </c>
      <c r="FD25" s="104">
        <f>'Проверочная  таблица'!LP27+'Проверочная  таблица'!MB27</f>
        <v>0</v>
      </c>
      <c r="FE25" s="1428">
        <f>'Проверочная  таблица'!LP27</f>
        <v>0</v>
      </c>
      <c r="FF25" s="1397"/>
      <c r="FG25" s="1425">
        <f>'Проверочная  таблица'!MB27</f>
        <v>0</v>
      </c>
      <c r="FH25" s="104">
        <f>'Проверочная  таблица'!LK27+'Проверочная  таблица'!LY27</f>
        <v>0</v>
      </c>
      <c r="FI25" s="1428">
        <f>'Проверочная  таблица'!LK27</f>
        <v>0</v>
      </c>
      <c r="FJ25" s="1397"/>
      <c r="FK25" s="1425">
        <f>'Проверочная  таблица'!LY27</f>
        <v>0</v>
      </c>
      <c r="FL25" s="104">
        <f>'Проверочная  таблица'!LR27+'Проверочная  таблица'!MD27</f>
        <v>0</v>
      </c>
      <c r="FM25" s="1428">
        <f>'Проверочная  таблица'!LR27</f>
        <v>0</v>
      </c>
      <c r="FN25" s="1397"/>
      <c r="FO25" s="1425">
        <f>'Проверочная  таблица'!MD27</f>
        <v>0</v>
      </c>
      <c r="FP25" s="104">
        <f>'Проверочная  таблица'!LM27</f>
        <v>0</v>
      </c>
      <c r="FQ25" s="1397"/>
      <c r="FR25" s="1397"/>
      <c r="FS25" s="1398"/>
      <c r="FT25" s="101">
        <f>'Проверочная  таблица'!LT27</f>
        <v>0</v>
      </c>
      <c r="FU25" s="1397"/>
      <c r="FV25" s="1397"/>
      <c r="FW25" s="1397"/>
      <c r="FX25" s="104">
        <f>'Проверочная  таблица'!NE27</f>
        <v>0</v>
      </c>
      <c r="FY25" s="1428"/>
      <c r="FZ25" s="1397">
        <f t="shared" si="22"/>
        <v>0</v>
      </c>
      <c r="GA25" s="1398"/>
      <c r="GB25" s="101">
        <f>'Проверочная  таблица'!NH27</f>
        <v>0</v>
      </c>
      <c r="GC25" s="1397"/>
      <c r="GD25" s="1397">
        <f t="shared" si="23"/>
        <v>0</v>
      </c>
      <c r="GE25" s="1398"/>
      <c r="GF25" s="103">
        <f>'Проверочная  таблица'!NW27</f>
        <v>0</v>
      </c>
      <c r="GG25" s="1397"/>
      <c r="GH25" s="1397"/>
      <c r="GI25" s="1398"/>
      <c r="GJ25" s="103">
        <f>'Проверочная  таблица'!NZ27</f>
        <v>0</v>
      </c>
      <c r="GK25" s="1397"/>
      <c r="GL25" s="1397"/>
      <c r="GM25" s="1398"/>
      <c r="GN25" s="101">
        <f>'Проверочная  таблица'!OW27+'Проверочная  таблица'!PM27</f>
        <v>0</v>
      </c>
      <c r="GO25" s="1397"/>
      <c r="GP25" s="1397">
        <f t="shared" si="24"/>
        <v>0</v>
      </c>
      <c r="GQ25" s="1398"/>
      <c r="GR25" s="101">
        <f>'Проверочная  таблица'!PD27+'Проверочная  таблица'!PV27</f>
        <v>0</v>
      </c>
      <c r="GS25" s="1397"/>
      <c r="GT25" s="1397">
        <f t="shared" si="25"/>
        <v>0</v>
      </c>
      <c r="GU25" s="1398"/>
      <c r="GV25" s="103">
        <f>'Проверочная  таблица'!PI27</f>
        <v>0</v>
      </c>
      <c r="GW25" s="1428"/>
      <c r="GX25" s="1397">
        <f t="shared" si="26"/>
        <v>0</v>
      </c>
      <c r="GY25" s="1398"/>
      <c r="GZ25" s="103">
        <f>'Проверочная  таблица'!PR27</f>
        <v>0</v>
      </c>
      <c r="HA25" s="1397"/>
      <c r="HB25" s="1397">
        <f t="shared" si="27"/>
        <v>0</v>
      </c>
      <c r="HC25" s="1398"/>
      <c r="HD25" s="103">
        <f>'Проверочная  таблица'!OU27+'Проверочная  таблица'!PK27</f>
        <v>0</v>
      </c>
      <c r="HE25" s="1428">
        <f>'Проверочная  таблица'!OU27</f>
        <v>0</v>
      </c>
      <c r="HF25" s="1397">
        <f>'Проверочная  таблица'!PK27</f>
        <v>0</v>
      </c>
      <c r="HG25" s="1398"/>
      <c r="HH25" s="103">
        <f>'Проверочная  таблица'!PB27+'Проверочная  таблица'!PT27</f>
        <v>0</v>
      </c>
      <c r="HI25" s="1428">
        <f>'Проверочная  таблица'!PB27</f>
        <v>0</v>
      </c>
      <c r="HJ25" s="1397">
        <f>'Проверочная  таблица'!PT27</f>
        <v>0</v>
      </c>
      <c r="HK25" s="1398"/>
      <c r="HL25" s="103">
        <f>'Проверочная  таблица'!OY27+'Проверочная  таблица'!PO27</f>
        <v>0</v>
      </c>
      <c r="HM25" s="1397">
        <f t="shared" si="28"/>
        <v>0</v>
      </c>
      <c r="HN25" s="1425"/>
      <c r="HO25" s="1398"/>
      <c r="HP25" s="103">
        <f>'Проверочная  таблица'!PF27+'Проверочная  таблица'!PX27</f>
        <v>0</v>
      </c>
      <c r="HQ25" s="1397">
        <f t="shared" si="29"/>
        <v>0</v>
      </c>
      <c r="HR25" s="1397"/>
      <c r="HS25" s="1397"/>
    </row>
    <row r="26" spans="1:227" ht="25.5" customHeight="1" x14ac:dyDescent="0.3">
      <c r="A26" s="102" t="s">
        <v>104</v>
      </c>
      <c r="B26" s="1445">
        <f t="shared" si="13"/>
        <v>0</v>
      </c>
      <c r="C26" s="1445">
        <f t="shared" si="14"/>
        <v>0</v>
      </c>
      <c r="D26" s="269">
        <f t="shared" si="15"/>
        <v>30468825.390000001</v>
      </c>
      <c r="E26" s="1420">
        <f t="shared" ref="E26:E27" si="30">AC26+AK26+CG26+CO26+BY26+GG26+FA26+FI26+M26+DM26+HE26+EK26+ES26+FY26+GW26+HM26+GO26+BQ26+CW26+AS26+DE26+U26+BA26+BI26+DU26+EC26+FQ26</f>
        <v>30468825.390000001</v>
      </c>
      <c r="F26" s="1420">
        <f t="shared" ref="F26:F27" si="31">AD26+AL26+CH26+CP26+BZ26+GH26+FB26+FJ26+N26+DN26+HF26+EL26+ET26+FZ26+GX26+HN26+GP26+BR26+CX26+AT26+DF26+V26+BB26+BJ26+DV26+ED26+FR26</f>
        <v>0</v>
      </c>
      <c r="G26" s="1420">
        <f t="shared" ref="G26:G27" si="32">AE26+AM26+CI26+CQ26+CA26+GI26+FC26+FK26+O26+DO26+HG26+EM26+EU26+GA26+GY26+HO26+GQ26+BS26+CY26+AU26+DG26+W26+BC26+BK26+DW26+EE26+FS26</f>
        <v>0</v>
      </c>
      <c r="H26" s="269">
        <f t="shared" si="1"/>
        <v>7976153.7800000003</v>
      </c>
      <c r="I26" s="1420">
        <f t="shared" si="2"/>
        <v>7976153.7800000003</v>
      </c>
      <c r="J26" s="1420">
        <f t="shared" si="3"/>
        <v>0</v>
      </c>
      <c r="K26" s="1420">
        <f t="shared" si="4"/>
        <v>0</v>
      </c>
      <c r="L26" s="104">
        <f>'Проверочная  таблица'!DE28+'Проверочная  таблица'!DG28</f>
        <v>0</v>
      </c>
      <c r="M26" s="1428">
        <f>'Проверочная  таблица'!DE28</f>
        <v>0</v>
      </c>
      <c r="N26" s="1397"/>
      <c r="O26" s="1425">
        <f>'Проверочная  таблица'!DG28</f>
        <v>0</v>
      </c>
      <c r="P26" s="104">
        <f>'Проверочная  таблица'!DF28+'Проверочная  таблица'!DH28</f>
        <v>0</v>
      </c>
      <c r="Q26" s="1428">
        <f>'Проверочная  таблица'!DF28</f>
        <v>0</v>
      </c>
      <c r="R26" s="1397"/>
      <c r="S26" s="1425">
        <f>'Проверочная  таблица'!DH28</f>
        <v>0</v>
      </c>
      <c r="T26" s="104">
        <f>'Проверочная  таблица'!DX28</f>
        <v>0</v>
      </c>
      <c r="U26" s="1397">
        <f t="shared" si="5"/>
        <v>0</v>
      </c>
      <c r="V26" s="1397"/>
      <c r="W26" s="1398"/>
      <c r="X26" s="101">
        <f>'Проверочная  таблица'!EF28</f>
        <v>0</v>
      </c>
      <c r="Y26" s="1397">
        <f t="shared" si="6"/>
        <v>0</v>
      </c>
      <c r="Z26" s="1397"/>
      <c r="AA26" s="1397"/>
      <c r="AB26" s="104">
        <f>'Проверочная  таблица'!DZ28</f>
        <v>0</v>
      </c>
      <c r="AC26" s="1397">
        <f t="shared" si="7"/>
        <v>0</v>
      </c>
      <c r="AD26" s="1397"/>
      <c r="AE26" s="1398"/>
      <c r="AF26" s="103">
        <f>'Проверочная  таблица'!EH28</f>
        <v>0</v>
      </c>
      <c r="AG26" s="1397">
        <f t="shared" si="8"/>
        <v>0</v>
      </c>
      <c r="AH26" s="1397"/>
      <c r="AI26" s="1398"/>
      <c r="AJ26" s="103">
        <f>'Проверочная  таблица'!EU28</f>
        <v>0</v>
      </c>
      <c r="AK26" s="1397">
        <f t="shared" si="9"/>
        <v>0</v>
      </c>
      <c r="AL26" s="1397"/>
      <c r="AM26" s="1398"/>
      <c r="AN26" s="101">
        <f>'Проверочная  таблица'!EX28</f>
        <v>0</v>
      </c>
      <c r="AO26" s="1397">
        <f t="shared" si="10"/>
        <v>0</v>
      </c>
      <c r="AP26" s="1397"/>
      <c r="AQ26" s="1398"/>
      <c r="AR26" s="103">
        <f>'Проверочная  таблица'!FG28</f>
        <v>2721180</v>
      </c>
      <c r="AS26" s="1397">
        <f t="shared" si="11"/>
        <v>2721180</v>
      </c>
      <c r="AT26" s="1397"/>
      <c r="AU26" s="1398"/>
      <c r="AV26" s="103">
        <f>'Проверочная  таблица'!FL28</f>
        <v>0</v>
      </c>
      <c r="AW26" s="1397">
        <f t="shared" si="12"/>
        <v>0</v>
      </c>
      <c r="AX26" s="1397"/>
      <c r="AY26" s="1398"/>
      <c r="AZ26" s="101">
        <f>'Проверочная  таблица'!FI28</f>
        <v>0</v>
      </c>
      <c r="BA26" s="1397"/>
      <c r="BB26" s="1397"/>
      <c r="BC26" s="1398"/>
      <c r="BD26" s="101">
        <f>'Проверочная  таблица'!FN28</f>
        <v>0</v>
      </c>
      <c r="BE26" s="1397"/>
      <c r="BF26" s="1397"/>
      <c r="BG26" s="1398"/>
      <c r="BH26" s="103">
        <f>'Проверочная  таблица'!FQ28</f>
        <v>0</v>
      </c>
      <c r="BI26" s="1397">
        <f t="shared" si="16"/>
        <v>0</v>
      </c>
      <c r="BJ26" s="1425"/>
      <c r="BK26" s="1398"/>
      <c r="BL26" s="101">
        <f>'Проверочная  таблица'!FT28</f>
        <v>0</v>
      </c>
      <c r="BM26" s="1397">
        <f t="shared" si="17"/>
        <v>0</v>
      </c>
      <c r="BN26" s="1397"/>
      <c r="BO26" s="1398"/>
      <c r="BP26" s="101">
        <f>'Проверочная  таблица'!FW28</f>
        <v>0</v>
      </c>
      <c r="BQ26" s="1397"/>
      <c r="BR26" s="1397"/>
      <c r="BS26" s="1398"/>
      <c r="BT26" s="101">
        <f>'Проверочная  таблица'!FZ28</f>
        <v>0</v>
      </c>
      <c r="BU26" s="1397"/>
      <c r="BV26" s="1397"/>
      <c r="BW26" s="1397"/>
      <c r="BX26" s="104">
        <f>'Проверочная  таблица'!GC28+'Проверочная  таблица'!GI28</f>
        <v>970725.91</v>
      </c>
      <c r="BY26" s="1428">
        <f>'Проверочная  таблица'!GC28</f>
        <v>970725.91</v>
      </c>
      <c r="BZ26" s="1397">
        <f>'Проверочная  таблица'!GO28</f>
        <v>0</v>
      </c>
      <c r="CA26" s="1425">
        <f>'Проверочная  таблица'!GU28</f>
        <v>0</v>
      </c>
      <c r="CB26" s="104">
        <f>'Проверочная  таблица'!GF28+'Проверочная  таблица'!GL28</f>
        <v>970725.91</v>
      </c>
      <c r="CC26" s="1428">
        <f>'Проверочная  таблица'!GF28</f>
        <v>970725.91</v>
      </c>
      <c r="CD26" s="1397">
        <f>'Проверочная  таблица'!GR28</f>
        <v>0</v>
      </c>
      <c r="CE26" s="1425">
        <f>'Проверочная  таблица'!GX28</f>
        <v>0</v>
      </c>
      <c r="CF26" s="104">
        <f>'Проверочная  таблица'!HI28+'Проверочная  таблица'!IA28</f>
        <v>2481.8799999999997</v>
      </c>
      <c r="CG26" s="1428">
        <f>'Проверочная  таблица'!HI28</f>
        <v>2481.8799999999997</v>
      </c>
      <c r="CH26" s="1397"/>
      <c r="CI26" s="1425">
        <f>'Проверочная  таблица'!JK28</f>
        <v>0</v>
      </c>
      <c r="CJ26" s="104">
        <f>'Проверочная  таблица'!IJ28+'Проверочная  таблица'!HR28</f>
        <v>2481.8799999999997</v>
      </c>
      <c r="CK26" s="1428">
        <f>'Проверочная  таблица'!HR28</f>
        <v>2481.8799999999997</v>
      </c>
      <c r="CL26" s="1397"/>
      <c r="CM26" s="1425">
        <f>'Проверочная  таблица'!JT28</f>
        <v>0</v>
      </c>
      <c r="CN26" s="104">
        <f>'Проверочная  таблица'!HK28+'Проверочная  таблица'!IC28</f>
        <v>0</v>
      </c>
      <c r="CO26" s="1428">
        <f>'Проверочная  таблица'!HK28</f>
        <v>0</v>
      </c>
      <c r="CP26" s="1397">
        <f>'Проверочная  таблица'!IU28</f>
        <v>0</v>
      </c>
      <c r="CQ26" s="1425">
        <f>'Проверочная  таблица'!JM28</f>
        <v>0</v>
      </c>
      <c r="CR26" s="104">
        <f>'Проверочная  таблица'!IL28+'Проверочная  таблица'!HT28</f>
        <v>0</v>
      </c>
      <c r="CS26" s="1428">
        <f>'Проверочная  таблица'!HT28</f>
        <v>0</v>
      </c>
      <c r="CT26" s="1397">
        <f>'Проверочная  таблица'!JD28</f>
        <v>0</v>
      </c>
      <c r="CU26" s="1425">
        <f>'Проверочная  таблица'!JV28</f>
        <v>0</v>
      </c>
      <c r="CV26" s="104">
        <f>'Проверочная  таблица'!HM28+'Проверочная  таблица'!IE28</f>
        <v>0</v>
      </c>
      <c r="CW26" s="1397"/>
      <c r="CX26" s="1397"/>
      <c r="CY26" s="1398"/>
      <c r="CZ26" s="103">
        <f>'Проверочная  таблица'!HV28+'Проверочная  таблица'!IN28</f>
        <v>0</v>
      </c>
      <c r="DA26" s="1397"/>
      <c r="DB26" s="1397"/>
      <c r="DC26" s="1398"/>
      <c r="DD26" s="103">
        <f>'Проверочная  таблица'!HG28+'Проверочная  таблица'!HY28</f>
        <v>0</v>
      </c>
      <c r="DE26" s="1428"/>
      <c r="DF26" s="1397">
        <f t="shared" si="18"/>
        <v>0</v>
      </c>
      <c r="DG26" s="1398"/>
      <c r="DH26" s="101">
        <f>'Проверочная  таблица'!IH28+'Проверочная  таблица'!HP28</f>
        <v>0</v>
      </c>
      <c r="DI26" s="1397"/>
      <c r="DJ26" s="1397">
        <f t="shared" si="19"/>
        <v>0</v>
      </c>
      <c r="DK26" s="1398"/>
      <c r="DL26" s="103">
        <f>'Проверочная  таблица'!KA28</f>
        <v>0</v>
      </c>
      <c r="DM26" s="1443">
        <f t="shared" si="20"/>
        <v>0</v>
      </c>
      <c r="DN26" s="1425"/>
      <c r="DO26" s="1398"/>
      <c r="DP26" s="103">
        <f>'Проверочная  таблица'!KF28</f>
        <v>0</v>
      </c>
      <c r="DQ26" s="1443">
        <f t="shared" si="21"/>
        <v>0</v>
      </c>
      <c r="DR26" s="1397"/>
      <c r="DS26" s="1398"/>
      <c r="DT26" s="101">
        <f>'Проверочная  таблица'!KC28</f>
        <v>0</v>
      </c>
      <c r="DU26" s="1397"/>
      <c r="DV26" s="1397"/>
      <c r="DW26" s="1398"/>
      <c r="DX26" s="103">
        <f>'Проверочная  таблица'!KH28</f>
        <v>0</v>
      </c>
      <c r="DY26" s="1397"/>
      <c r="DZ26" s="1397"/>
      <c r="EA26" s="1398"/>
      <c r="EB26" s="103">
        <f>'Проверочная  таблица'!KL28</f>
        <v>0</v>
      </c>
      <c r="EC26" s="1397"/>
      <c r="ED26" s="1397"/>
      <c r="EE26" s="1398"/>
      <c r="EF26" s="101">
        <f>'Проверочная  таблица'!KR28</f>
        <v>0</v>
      </c>
      <c r="EG26" s="1397"/>
      <c r="EH26" s="1397"/>
      <c r="EI26" s="1398"/>
      <c r="EJ26" s="101">
        <f>'Проверочная  таблица'!KN28</f>
        <v>0</v>
      </c>
      <c r="EK26" s="1397"/>
      <c r="EL26" s="1397"/>
      <c r="EM26" s="1398"/>
      <c r="EN26" s="101">
        <f>'Проверочная  таблица'!KT28</f>
        <v>0</v>
      </c>
      <c r="EO26" s="1397"/>
      <c r="EP26" s="1397"/>
      <c r="EQ26" s="1398"/>
      <c r="ER26" s="103">
        <f>'Проверочная  таблица'!KX28</f>
        <v>0</v>
      </c>
      <c r="ES26" s="1397"/>
      <c r="ET26" s="1397"/>
      <c r="EU26" s="1398"/>
      <c r="EV26" s="101">
        <f>'Проверочная  таблица'!LB28</f>
        <v>0</v>
      </c>
      <c r="EW26" s="1397"/>
      <c r="EX26" s="1397"/>
      <c r="EY26" s="1397"/>
      <c r="EZ26" s="104">
        <f>'Проверочная  таблица'!LI28+'Проверочная  таблица'!LW28</f>
        <v>0</v>
      </c>
      <c r="FA26" s="1428">
        <f>'Проверочная  таблица'!LI28</f>
        <v>0</v>
      </c>
      <c r="FB26" s="1397"/>
      <c r="FC26" s="1425">
        <f>'Проверочная  таблица'!LW28</f>
        <v>0</v>
      </c>
      <c r="FD26" s="104">
        <f>'Проверочная  таблица'!LP28+'Проверочная  таблица'!MB28</f>
        <v>0</v>
      </c>
      <c r="FE26" s="1428">
        <f>'Проверочная  таблица'!LP28</f>
        <v>0</v>
      </c>
      <c r="FF26" s="1397"/>
      <c r="FG26" s="1425">
        <f>'Проверочная  таблица'!MB28</f>
        <v>0</v>
      </c>
      <c r="FH26" s="104">
        <f>'Проверочная  таблица'!LK28+'Проверочная  таблица'!LY28</f>
        <v>0</v>
      </c>
      <c r="FI26" s="1428">
        <f>'Проверочная  таблица'!LK28</f>
        <v>0</v>
      </c>
      <c r="FJ26" s="1397"/>
      <c r="FK26" s="1425">
        <f>'Проверочная  таблица'!LY28</f>
        <v>0</v>
      </c>
      <c r="FL26" s="104">
        <f>'Проверочная  таблица'!LR28+'Проверочная  таблица'!MD28</f>
        <v>0</v>
      </c>
      <c r="FM26" s="1428">
        <f>'Проверочная  таблица'!LR28</f>
        <v>0</v>
      </c>
      <c r="FN26" s="1397"/>
      <c r="FO26" s="1425">
        <f>'Проверочная  таблица'!MD28</f>
        <v>0</v>
      </c>
      <c r="FP26" s="104">
        <f>'Проверочная  таблица'!LM28</f>
        <v>0</v>
      </c>
      <c r="FQ26" s="1397"/>
      <c r="FR26" s="1397"/>
      <c r="FS26" s="1398"/>
      <c r="FT26" s="101">
        <f>'Проверочная  таблица'!LT28</f>
        <v>0</v>
      </c>
      <c r="FU26" s="1397"/>
      <c r="FV26" s="1397"/>
      <c r="FW26" s="1397"/>
      <c r="FX26" s="104">
        <f>'Проверочная  таблица'!NE28</f>
        <v>0</v>
      </c>
      <c r="FY26" s="1428"/>
      <c r="FZ26" s="1397">
        <f t="shared" si="22"/>
        <v>0</v>
      </c>
      <c r="GA26" s="1398"/>
      <c r="GB26" s="101">
        <f>'Проверочная  таблица'!NH28</f>
        <v>0</v>
      </c>
      <c r="GC26" s="1397"/>
      <c r="GD26" s="1397">
        <f t="shared" si="23"/>
        <v>0</v>
      </c>
      <c r="GE26" s="1398"/>
      <c r="GF26" s="103">
        <f>'Проверочная  таблица'!NW28</f>
        <v>0</v>
      </c>
      <c r="GG26" s="1397"/>
      <c r="GH26" s="1397"/>
      <c r="GI26" s="1398"/>
      <c r="GJ26" s="103">
        <f>'Проверочная  таблица'!NZ28</f>
        <v>0</v>
      </c>
      <c r="GK26" s="1397"/>
      <c r="GL26" s="1397"/>
      <c r="GM26" s="1398"/>
      <c r="GN26" s="101">
        <f>'Проверочная  таблица'!OW28+'Проверочная  таблица'!PM28</f>
        <v>0</v>
      </c>
      <c r="GO26" s="1397"/>
      <c r="GP26" s="1397">
        <f t="shared" si="24"/>
        <v>0</v>
      </c>
      <c r="GQ26" s="1398"/>
      <c r="GR26" s="101">
        <f>'Проверочная  таблица'!PD28+'Проверочная  таблица'!PV28</f>
        <v>0</v>
      </c>
      <c r="GS26" s="1397"/>
      <c r="GT26" s="1397">
        <f t="shared" si="25"/>
        <v>0</v>
      </c>
      <c r="GU26" s="1398"/>
      <c r="GV26" s="103">
        <f>'Проверочная  таблица'!PI28</f>
        <v>0</v>
      </c>
      <c r="GW26" s="1428"/>
      <c r="GX26" s="1397">
        <f t="shared" si="26"/>
        <v>0</v>
      </c>
      <c r="GY26" s="1398"/>
      <c r="GZ26" s="103">
        <f>'Проверочная  таблица'!PR28</f>
        <v>0</v>
      </c>
      <c r="HA26" s="1397"/>
      <c r="HB26" s="1397">
        <f t="shared" si="27"/>
        <v>0</v>
      </c>
      <c r="HC26" s="1398"/>
      <c r="HD26" s="103">
        <f>'Проверочная  таблица'!OU28+'Проверочная  таблица'!PK28</f>
        <v>3441072.7199999997</v>
      </c>
      <c r="HE26" s="1428">
        <f>'Проверочная  таблица'!OU28</f>
        <v>3441072.7199999997</v>
      </c>
      <c r="HF26" s="1397">
        <f>'Проверочная  таблица'!PK28</f>
        <v>0</v>
      </c>
      <c r="HG26" s="1398"/>
      <c r="HH26" s="103">
        <f>'Проверочная  таблица'!PB28+'Проверочная  таблица'!PT28</f>
        <v>0</v>
      </c>
      <c r="HI26" s="1428">
        <f>'Проверочная  таблица'!PB28</f>
        <v>0</v>
      </c>
      <c r="HJ26" s="1397">
        <f>'Проверочная  таблица'!PT28</f>
        <v>0</v>
      </c>
      <c r="HK26" s="1398"/>
      <c r="HL26" s="103">
        <f>'Проверочная  таблица'!OY28+'Проверочная  таблица'!PO28</f>
        <v>23333364.879999999</v>
      </c>
      <c r="HM26" s="1397">
        <f t="shared" si="28"/>
        <v>23333364.879999999</v>
      </c>
      <c r="HN26" s="1425"/>
      <c r="HO26" s="1398"/>
      <c r="HP26" s="103">
        <f>'Проверочная  таблица'!PF28+'Проверочная  таблица'!PX28</f>
        <v>7002945.9900000002</v>
      </c>
      <c r="HQ26" s="1397">
        <f t="shared" si="29"/>
        <v>7002945.9900000002</v>
      </c>
      <c r="HR26" s="1397"/>
      <c r="HS26" s="1397"/>
    </row>
    <row r="27" spans="1:227" ht="25.5" customHeight="1" thickBot="1" x14ac:dyDescent="0.35">
      <c r="A27" s="106" t="s">
        <v>105</v>
      </c>
      <c r="B27" s="1445">
        <f t="shared" si="13"/>
        <v>0</v>
      </c>
      <c r="C27" s="1445">
        <f t="shared" si="14"/>
        <v>0</v>
      </c>
      <c r="D27" s="269">
        <f t="shared" si="15"/>
        <v>8513484.129999999</v>
      </c>
      <c r="E27" s="1420">
        <f t="shared" si="30"/>
        <v>3014486.47</v>
      </c>
      <c r="F27" s="1420">
        <f t="shared" si="31"/>
        <v>1223997.6599999999</v>
      </c>
      <c r="G27" s="1420">
        <f t="shared" si="32"/>
        <v>4275000</v>
      </c>
      <c r="H27" s="269">
        <f t="shared" si="1"/>
        <v>5193312.5299999993</v>
      </c>
      <c r="I27" s="1420">
        <f t="shared" si="2"/>
        <v>4136.47</v>
      </c>
      <c r="J27" s="1420">
        <f t="shared" si="3"/>
        <v>1223997.6599999999</v>
      </c>
      <c r="K27" s="1420">
        <f t="shared" si="4"/>
        <v>3965178.4</v>
      </c>
      <c r="L27" s="109">
        <f>'Проверочная  таблица'!DE29+'Проверочная  таблица'!DG29</f>
        <v>0</v>
      </c>
      <c r="M27" s="1429">
        <f>'Проверочная  таблица'!DE29</f>
        <v>0</v>
      </c>
      <c r="N27" s="1399"/>
      <c r="O27" s="1426">
        <f>'Проверочная  таблица'!DG29</f>
        <v>0</v>
      </c>
      <c r="P27" s="109">
        <f>'Проверочная  таблица'!DF29+'Проверочная  таблица'!DH29</f>
        <v>0</v>
      </c>
      <c r="Q27" s="1429">
        <f>'Проверочная  таблица'!DF29</f>
        <v>0</v>
      </c>
      <c r="R27" s="1399"/>
      <c r="S27" s="1426">
        <f>'Проверочная  таблица'!DH29</f>
        <v>0</v>
      </c>
      <c r="T27" s="109">
        <f>'Проверочная  таблица'!DX29</f>
        <v>0</v>
      </c>
      <c r="U27" s="1448">
        <f t="shared" si="5"/>
        <v>0</v>
      </c>
      <c r="V27" s="1399"/>
      <c r="W27" s="1400"/>
      <c r="X27" s="107">
        <f>'Проверочная  таблица'!EF29</f>
        <v>0</v>
      </c>
      <c r="Y27" s="1448">
        <f t="shared" si="6"/>
        <v>0</v>
      </c>
      <c r="Z27" s="1399"/>
      <c r="AA27" s="1399"/>
      <c r="AB27" s="109">
        <f>'Проверочная  таблица'!DZ29</f>
        <v>0</v>
      </c>
      <c r="AC27" s="1448">
        <f t="shared" si="7"/>
        <v>0</v>
      </c>
      <c r="AD27" s="1399"/>
      <c r="AE27" s="1400"/>
      <c r="AF27" s="108">
        <f>'Проверочная  таблица'!EH29</f>
        <v>0</v>
      </c>
      <c r="AG27" s="1448">
        <f t="shared" si="8"/>
        <v>0</v>
      </c>
      <c r="AH27" s="1448"/>
      <c r="AI27" s="1449"/>
      <c r="AJ27" s="1412">
        <f>'Проверочная  таблица'!EU29</f>
        <v>3010350</v>
      </c>
      <c r="AK27" s="1448">
        <f t="shared" si="9"/>
        <v>3010350</v>
      </c>
      <c r="AL27" s="1448"/>
      <c r="AM27" s="1449"/>
      <c r="AN27" s="1450">
        <f>'Проверочная  таблица'!EX29</f>
        <v>0</v>
      </c>
      <c r="AO27" s="1448">
        <f t="shared" si="10"/>
        <v>0</v>
      </c>
      <c r="AP27" s="1399"/>
      <c r="AQ27" s="1400"/>
      <c r="AR27" s="108">
        <f>'Проверочная  таблица'!FG29</f>
        <v>0</v>
      </c>
      <c r="AS27" s="1448">
        <f t="shared" si="11"/>
        <v>0</v>
      </c>
      <c r="AT27" s="1448"/>
      <c r="AU27" s="1449"/>
      <c r="AV27" s="1412">
        <f>'Проверочная  таблица'!FL29</f>
        <v>0</v>
      </c>
      <c r="AW27" s="1448">
        <f t="shared" si="12"/>
        <v>0</v>
      </c>
      <c r="AX27" s="1399"/>
      <c r="AY27" s="1400"/>
      <c r="AZ27" s="107">
        <f>'Проверочная  таблица'!FI29</f>
        <v>0</v>
      </c>
      <c r="BA27" s="1399"/>
      <c r="BB27" s="1399"/>
      <c r="BC27" s="1400"/>
      <c r="BD27" s="107">
        <f>'Проверочная  таблица'!FN29</f>
        <v>0</v>
      </c>
      <c r="BE27" s="1399"/>
      <c r="BF27" s="1399"/>
      <c r="BG27" s="1400"/>
      <c r="BH27" s="108">
        <f>'Проверочная  таблица'!FQ29</f>
        <v>0</v>
      </c>
      <c r="BI27" s="1399">
        <f t="shared" si="16"/>
        <v>0</v>
      </c>
      <c r="BJ27" s="1426"/>
      <c r="BK27" s="1400"/>
      <c r="BL27" s="107">
        <f>'Проверочная  таблица'!FT29</f>
        <v>0</v>
      </c>
      <c r="BM27" s="1399">
        <f t="shared" si="17"/>
        <v>0</v>
      </c>
      <c r="BN27" s="1399"/>
      <c r="BO27" s="1400"/>
      <c r="BP27" s="107">
        <f>'Проверочная  таблица'!FW29</f>
        <v>0</v>
      </c>
      <c r="BQ27" s="1399"/>
      <c r="BR27" s="1399"/>
      <c r="BS27" s="1400"/>
      <c r="BT27" s="107">
        <f>'Проверочная  таблица'!FZ29</f>
        <v>0</v>
      </c>
      <c r="BU27" s="1399"/>
      <c r="BV27" s="1399"/>
      <c r="BW27" s="1399"/>
      <c r="BX27" s="109">
        <f>'Проверочная  таблица'!GC29+'Проверочная  таблица'!GI29</f>
        <v>1223997.6599999999</v>
      </c>
      <c r="BY27" s="1429">
        <f>'Проверочная  таблица'!GC29</f>
        <v>0</v>
      </c>
      <c r="BZ27" s="1399">
        <f>'Проверочная  таблица'!GO29</f>
        <v>1223997.6599999999</v>
      </c>
      <c r="CA27" s="1426">
        <f>'Проверочная  таблица'!GU29</f>
        <v>0</v>
      </c>
      <c r="CB27" s="109">
        <f>'Проверочная  таблица'!GF29+'Проверочная  таблица'!GL29</f>
        <v>1223997.6599999999</v>
      </c>
      <c r="CC27" s="1429">
        <f>'Проверочная  таблица'!GF29</f>
        <v>0</v>
      </c>
      <c r="CD27" s="1399">
        <f>'Проверочная  таблица'!GR29</f>
        <v>1223997.6599999999</v>
      </c>
      <c r="CE27" s="1426">
        <f>'Проверочная  таблица'!GX29</f>
        <v>0</v>
      </c>
      <c r="CF27" s="109">
        <f>'Проверочная  таблица'!HI29+'Проверочная  таблица'!IA29</f>
        <v>4136.47</v>
      </c>
      <c r="CG27" s="1429">
        <f>'Проверочная  таблица'!HI29</f>
        <v>4136.47</v>
      </c>
      <c r="CH27" s="1399"/>
      <c r="CI27" s="1426">
        <f>'Проверочная  таблица'!JK29</f>
        <v>0</v>
      </c>
      <c r="CJ27" s="109">
        <f>'Проверочная  таблица'!IJ29+'Проверочная  таблица'!HR29</f>
        <v>4136.47</v>
      </c>
      <c r="CK27" s="1429">
        <f>'Проверочная  таблица'!HR29</f>
        <v>4136.47</v>
      </c>
      <c r="CL27" s="1399"/>
      <c r="CM27" s="1426">
        <f>'Проверочная  таблица'!JT29</f>
        <v>0</v>
      </c>
      <c r="CN27" s="109">
        <f>'Проверочная  таблица'!HK29+'Проверочная  таблица'!IC29</f>
        <v>0</v>
      </c>
      <c r="CO27" s="1429">
        <f>'Проверочная  таблица'!HK29</f>
        <v>0</v>
      </c>
      <c r="CP27" s="1399">
        <f>'Проверочная  таблица'!IU29</f>
        <v>0</v>
      </c>
      <c r="CQ27" s="1426">
        <f>'Проверочная  таблица'!JM29</f>
        <v>0</v>
      </c>
      <c r="CR27" s="109">
        <f>'Проверочная  таблица'!IL29+'Проверочная  таблица'!HT29</f>
        <v>0</v>
      </c>
      <c r="CS27" s="1429">
        <f>'Проверочная  таблица'!HT29</f>
        <v>0</v>
      </c>
      <c r="CT27" s="1399">
        <f>'Проверочная  таблица'!JD29</f>
        <v>0</v>
      </c>
      <c r="CU27" s="1426">
        <f>'Проверочная  таблица'!JV29</f>
        <v>0</v>
      </c>
      <c r="CV27" s="109">
        <f>'Проверочная  таблица'!HM29+'Проверочная  таблица'!IE29</f>
        <v>0</v>
      </c>
      <c r="CW27" s="1399"/>
      <c r="CX27" s="1399"/>
      <c r="CY27" s="1400"/>
      <c r="CZ27" s="108">
        <f>'Проверочная  таблица'!HV29+'Проверочная  таблица'!IN29</f>
        <v>0</v>
      </c>
      <c r="DA27" s="1399"/>
      <c r="DB27" s="1399"/>
      <c r="DC27" s="1400"/>
      <c r="DD27" s="108">
        <f>'Проверочная  таблица'!HG29+'Проверочная  таблица'!HY29</f>
        <v>0</v>
      </c>
      <c r="DE27" s="1429"/>
      <c r="DF27" s="1399">
        <f t="shared" si="18"/>
        <v>0</v>
      </c>
      <c r="DG27" s="1400"/>
      <c r="DH27" s="107">
        <f>'Проверочная  таблица'!IH29+'Проверочная  таблица'!HP29</f>
        <v>0</v>
      </c>
      <c r="DI27" s="1399"/>
      <c r="DJ27" s="1399">
        <f t="shared" si="19"/>
        <v>0</v>
      </c>
      <c r="DK27" s="1400"/>
      <c r="DL27" s="108">
        <f>'Проверочная  таблица'!KA29</f>
        <v>0</v>
      </c>
      <c r="DM27" s="1444">
        <f t="shared" si="20"/>
        <v>0</v>
      </c>
      <c r="DN27" s="1426"/>
      <c r="DO27" s="1400"/>
      <c r="DP27" s="108">
        <f>'Проверочная  таблица'!KF29</f>
        <v>0</v>
      </c>
      <c r="DQ27" s="1444">
        <f t="shared" si="21"/>
        <v>0</v>
      </c>
      <c r="DR27" s="1399"/>
      <c r="DS27" s="1400"/>
      <c r="DT27" s="107">
        <f>'Проверочная  таблица'!KC29</f>
        <v>0</v>
      </c>
      <c r="DU27" s="1399"/>
      <c r="DV27" s="1399"/>
      <c r="DW27" s="1400"/>
      <c r="DX27" s="108">
        <f>'Проверочная  таблица'!KH29</f>
        <v>0</v>
      </c>
      <c r="DY27" s="1399"/>
      <c r="DZ27" s="1399"/>
      <c r="EA27" s="1400"/>
      <c r="EB27" s="108">
        <f>'Проверочная  таблица'!KL29</f>
        <v>0</v>
      </c>
      <c r="EC27" s="1399"/>
      <c r="ED27" s="1399"/>
      <c r="EE27" s="1400"/>
      <c r="EF27" s="107">
        <f>'Проверочная  таблица'!KR29</f>
        <v>0</v>
      </c>
      <c r="EG27" s="1399"/>
      <c r="EH27" s="1399"/>
      <c r="EI27" s="1400"/>
      <c r="EJ27" s="107">
        <f>'Проверочная  таблица'!KN29</f>
        <v>0</v>
      </c>
      <c r="EK27" s="1399"/>
      <c r="EL27" s="1399"/>
      <c r="EM27" s="1400"/>
      <c r="EN27" s="107">
        <f>'Проверочная  таблица'!KT29</f>
        <v>0</v>
      </c>
      <c r="EO27" s="1399"/>
      <c r="EP27" s="1399"/>
      <c r="EQ27" s="1400"/>
      <c r="ER27" s="108">
        <f>'Проверочная  таблица'!KX29</f>
        <v>0</v>
      </c>
      <c r="ES27" s="1399"/>
      <c r="ET27" s="1399"/>
      <c r="EU27" s="1400"/>
      <c r="EV27" s="107">
        <f>'Проверочная  таблица'!LB29</f>
        <v>0</v>
      </c>
      <c r="EW27" s="1399"/>
      <c r="EX27" s="1399"/>
      <c r="EY27" s="1399"/>
      <c r="EZ27" s="109">
        <f>'Проверочная  таблица'!LI29+'Проверочная  таблица'!LW29</f>
        <v>4275000</v>
      </c>
      <c r="FA27" s="1429">
        <f>'Проверочная  таблица'!LI29</f>
        <v>0</v>
      </c>
      <c r="FB27" s="1399"/>
      <c r="FC27" s="1426">
        <f>'Проверочная  таблица'!LW29</f>
        <v>4275000</v>
      </c>
      <c r="FD27" s="109">
        <f>'Проверочная  таблица'!LP29+'Проверочная  таблица'!MB29</f>
        <v>3965178.4</v>
      </c>
      <c r="FE27" s="1429">
        <f>'Проверочная  таблица'!LP29</f>
        <v>0</v>
      </c>
      <c r="FF27" s="1399"/>
      <c r="FG27" s="1426">
        <f>'Проверочная  таблица'!MB29</f>
        <v>3965178.4</v>
      </c>
      <c r="FH27" s="109">
        <f>'Проверочная  таблица'!LK29+'Проверочная  таблица'!LY29</f>
        <v>0</v>
      </c>
      <c r="FI27" s="1429">
        <f>'Проверочная  таблица'!LK29</f>
        <v>0</v>
      </c>
      <c r="FJ27" s="1399"/>
      <c r="FK27" s="1426">
        <f>'Проверочная  таблица'!LY29</f>
        <v>0</v>
      </c>
      <c r="FL27" s="109">
        <f>'Проверочная  таблица'!LR29+'Проверочная  таблица'!MD29</f>
        <v>0</v>
      </c>
      <c r="FM27" s="1429">
        <f>'Проверочная  таблица'!LR29</f>
        <v>0</v>
      </c>
      <c r="FN27" s="1399"/>
      <c r="FO27" s="1426">
        <f>'Проверочная  таблица'!MD29</f>
        <v>0</v>
      </c>
      <c r="FP27" s="109">
        <f>'Проверочная  таблица'!LM29</f>
        <v>0</v>
      </c>
      <c r="FQ27" s="1399"/>
      <c r="FR27" s="1399"/>
      <c r="FS27" s="1400"/>
      <c r="FT27" s="107">
        <f>'Проверочная  таблица'!LT29</f>
        <v>0</v>
      </c>
      <c r="FU27" s="1399"/>
      <c r="FV27" s="1399"/>
      <c r="FW27" s="1399"/>
      <c r="FX27" s="109">
        <f>'Проверочная  таблица'!NE29</f>
        <v>0</v>
      </c>
      <c r="FY27" s="1429"/>
      <c r="FZ27" s="1399">
        <f t="shared" si="22"/>
        <v>0</v>
      </c>
      <c r="GA27" s="1400"/>
      <c r="GB27" s="107">
        <f>'Проверочная  таблица'!NH29</f>
        <v>0</v>
      </c>
      <c r="GC27" s="1399"/>
      <c r="GD27" s="1399">
        <f t="shared" si="23"/>
        <v>0</v>
      </c>
      <c r="GE27" s="1400"/>
      <c r="GF27" s="108">
        <f>'Проверочная  таблица'!NW29</f>
        <v>0</v>
      </c>
      <c r="GG27" s="1399"/>
      <c r="GH27" s="1399"/>
      <c r="GI27" s="1400"/>
      <c r="GJ27" s="108">
        <f>'Проверочная  таблица'!NZ29</f>
        <v>0</v>
      </c>
      <c r="GK27" s="1399"/>
      <c r="GL27" s="1399"/>
      <c r="GM27" s="1400"/>
      <c r="GN27" s="107">
        <f>'Проверочная  таблица'!OW29+'Проверочная  таблица'!PM29</f>
        <v>0</v>
      </c>
      <c r="GO27" s="1399"/>
      <c r="GP27" s="1399">
        <f t="shared" si="24"/>
        <v>0</v>
      </c>
      <c r="GQ27" s="1400"/>
      <c r="GR27" s="107">
        <f>'Проверочная  таблица'!PD29+'Проверочная  таблица'!PV29</f>
        <v>0</v>
      </c>
      <c r="GS27" s="1399"/>
      <c r="GT27" s="1399">
        <f t="shared" si="25"/>
        <v>0</v>
      </c>
      <c r="GU27" s="1400"/>
      <c r="GV27" s="108">
        <f>'Проверочная  таблица'!PI29</f>
        <v>0</v>
      </c>
      <c r="GW27" s="1429"/>
      <c r="GX27" s="1399">
        <f t="shared" si="26"/>
        <v>0</v>
      </c>
      <c r="GY27" s="1400"/>
      <c r="GZ27" s="108">
        <f>'Проверочная  таблица'!PR29</f>
        <v>0</v>
      </c>
      <c r="HA27" s="1399"/>
      <c r="HB27" s="1399">
        <f t="shared" si="27"/>
        <v>0</v>
      </c>
      <c r="HC27" s="1400"/>
      <c r="HD27" s="108">
        <f>'Проверочная  таблица'!OU29+'Проверочная  таблица'!PK29</f>
        <v>0</v>
      </c>
      <c r="HE27" s="1429">
        <f>'Проверочная  таблица'!OU29</f>
        <v>0</v>
      </c>
      <c r="HF27" s="1399">
        <f>'Проверочная  таблица'!PK29</f>
        <v>0</v>
      </c>
      <c r="HG27" s="1400"/>
      <c r="HH27" s="108">
        <f>'Проверочная  таблица'!PB29+'Проверочная  таблица'!PT29</f>
        <v>0</v>
      </c>
      <c r="HI27" s="1429">
        <f>'Проверочная  таблица'!PB29</f>
        <v>0</v>
      </c>
      <c r="HJ27" s="1399">
        <f>'Проверочная  таблица'!PT29</f>
        <v>0</v>
      </c>
      <c r="HK27" s="1400"/>
      <c r="HL27" s="108">
        <f>'Проверочная  таблица'!OY29+'Проверочная  таблица'!PO29</f>
        <v>0</v>
      </c>
      <c r="HM27" s="1399">
        <f t="shared" si="28"/>
        <v>0</v>
      </c>
      <c r="HN27" s="1426"/>
      <c r="HO27" s="1400"/>
      <c r="HP27" s="108">
        <f>'Проверочная  таблица'!PF29+'Проверочная  таблица'!PX29</f>
        <v>0</v>
      </c>
      <c r="HQ27" s="1399">
        <f t="shared" si="29"/>
        <v>0</v>
      </c>
      <c r="HR27" s="1399"/>
      <c r="HS27" s="1399"/>
    </row>
    <row r="28" spans="1:227" ht="25.5" customHeight="1" thickBot="1" x14ac:dyDescent="0.35">
      <c r="A28" s="153" t="s">
        <v>113</v>
      </c>
      <c r="B28" s="1445">
        <f t="shared" si="13"/>
        <v>0</v>
      </c>
      <c r="C28" s="1445">
        <f t="shared" si="14"/>
        <v>0</v>
      </c>
      <c r="D28" s="114">
        <f t="shared" ref="D28:K28" si="33">SUM(D10:D27)</f>
        <v>558811679.27999997</v>
      </c>
      <c r="E28" s="1419">
        <f t="shared" ref="E28:G28" si="34">SUM(E10:E27)</f>
        <v>363630616.57999998</v>
      </c>
      <c r="F28" s="1419">
        <f t="shared" si="34"/>
        <v>88404088.039999992</v>
      </c>
      <c r="G28" s="1419">
        <f t="shared" si="34"/>
        <v>106776974.66000001</v>
      </c>
      <c r="H28" s="114">
        <f t="shared" si="33"/>
        <v>282582227.05999994</v>
      </c>
      <c r="I28" s="1419">
        <f t="shared" si="33"/>
        <v>179496795.5</v>
      </c>
      <c r="J28" s="1419">
        <f t="shared" si="33"/>
        <v>44546227.059999987</v>
      </c>
      <c r="K28" s="1419">
        <f t="shared" si="33"/>
        <v>58539204.5</v>
      </c>
      <c r="L28" s="115">
        <f t="shared" ref="L28:HH28" si="35">SUM(L10:L27)</f>
        <v>65065208.160000004</v>
      </c>
      <c r="M28" s="1401">
        <f t="shared" si="35"/>
        <v>14391840.32</v>
      </c>
      <c r="N28" s="1418">
        <f t="shared" si="35"/>
        <v>0</v>
      </c>
      <c r="O28" s="1431">
        <f t="shared" si="35"/>
        <v>50673367.840000004</v>
      </c>
      <c r="P28" s="112">
        <f t="shared" si="35"/>
        <v>36917740.990000002</v>
      </c>
      <c r="Q28" s="1401">
        <f t="shared" si="35"/>
        <v>10929016.559999999</v>
      </c>
      <c r="R28" s="1418">
        <f t="shared" si="35"/>
        <v>0</v>
      </c>
      <c r="S28" s="1431">
        <f t="shared" si="35"/>
        <v>25988724.43</v>
      </c>
      <c r="T28" s="112">
        <f t="shared" si="35"/>
        <v>0</v>
      </c>
      <c r="U28" s="1419">
        <f t="shared" ref="U28" si="36">SUM(U10:U27)</f>
        <v>0</v>
      </c>
      <c r="V28" s="1401">
        <f t="shared" ref="V28:W28" si="37">SUM(V10:V27)</f>
        <v>0</v>
      </c>
      <c r="W28" s="1401">
        <f t="shared" si="37"/>
        <v>0</v>
      </c>
      <c r="X28" s="111">
        <f t="shared" si="35"/>
        <v>0</v>
      </c>
      <c r="Y28" s="1419">
        <f t="shared" ref="Y28" si="38">SUM(Y10:Y27)</f>
        <v>0</v>
      </c>
      <c r="Z28" s="1401">
        <f t="shared" si="35"/>
        <v>0</v>
      </c>
      <c r="AA28" s="1418">
        <f t="shared" si="35"/>
        <v>0</v>
      </c>
      <c r="AB28" s="115">
        <f t="shared" si="35"/>
        <v>1842356.4</v>
      </c>
      <c r="AC28" s="1419">
        <f t="shared" si="35"/>
        <v>1842356.4</v>
      </c>
      <c r="AD28" s="1401">
        <f t="shared" ref="AD28:AE28" si="39">SUM(AD10:AD27)</f>
        <v>0</v>
      </c>
      <c r="AE28" s="1401">
        <f t="shared" si="39"/>
        <v>0</v>
      </c>
      <c r="AF28" s="112">
        <f t="shared" si="35"/>
        <v>0</v>
      </c>
      <c r="AG28" s="1451">
        <f t="shared" si="35"/>
        <v>0</v>
      </c>
      <c r="AH28" s="1451">
        <f t="shared" si="35"/>
        <v>0</v>
      </c>
      <c r="AI28" s="1451">
        <f t="shared" si="35"/>
        <v>0</v>
      </c>
      <c r="AJ28" s="114">
        <f>SUM(AJ10:AJ27)</f>
        <v>6020700</v>
      </c>
      <c r="AK28" s="1451">
        <f t="shared" ref="AK28" si="40">SUM(AK10:AK27)</f>
        <v>6020700</v>
      </c>
      <c r="AL28" s="1451">
        <f t="shared" ref="AL28:AM28" si="41">SUM(AL10:AL27)</f>
        <v>0</v>
      </c>
      <c r="AM28" s="1451">
        <f t="shared" si="41"/>
        <v>0</v>
      </c>
      <c r="AN28" s="114">
        <f>SUM(AN10:AN27)</f>
        <v>0</v>
      </c>
      <c r="AO28" s="1419">
        <f t="shared" ref="AO28" si="42">SUM(AO10:AO27)</f>
        <v>0</v>
      </c>
      <c r="AP28" s="1401">
        <f t="shared" ref="AP28:AQ28" si="43">SUM(AP10:AP27)</f>
        <v>0</v>
      </c>
      <c r="AQ28" s="1401">
        <f t="shared" si="43"/>
        <v>0</v>
      </c>
      <c r="AR28" s="112">
        <f t="shared" ref="AR28:BO28" si="44">SUM(AR10:AR27)</f>
        <v>19048320</v>
      </c>
      <c r="AS28" s="1451">
        <f t="shared" si="44"/>
        <v>19048320</v>
      </c>
      <c r="AT28" s="1451">
        <f t="shared" si="44"/>
        <v>0</v>
      </c>
      <c r="AU28" s="1451">
        <f t="shared" si="44"/>
        <v>0</v>
      </c>
      <c r="AV28" s="114">
        <f t="shared" si="44"/>
        <v>2721180</v>
      </c>
      <c r="AW28" s="1419">
        <f t="shared" ref="AW28" si="45">SUM(AW10:AW27)</f>
        <v>2721180</v>
      </c>
      <c r="AX28" s="1401">
        <f t="shared" si="44"/>
        <v>0</v>
      </c>
      <c r="AY28" s="1401">
        <f t="shared" si="44"/>
        <v>0</v>
      </c>
      <c r="AZ28" s="111">
        <f t="shared" si="44"/>
        <v>0</v>
      </c>
      <c r="BA28" s="1401">
        <f t="shared" si="44"/>
        <v>0</v>
      </c>
      <c r="BB28" s="1401">
        <f t="shared" si="44"/>
        <v>0</v>
      </c>
      <c r="BC28" s="1401">
        <f t="shared" si="44"/>
        <v>0</v>
      </c>
      <c r="BD28" s="111">
        <f t="shared" si="44"/>
        <v>0</v>
      </c>
      <c r="BE28" s="1401">
        <f t="shared" si="44"/>
        <v>0</v>
      </c>
      <c r="BF28" s="1401">
        <f t="shared" si="44"/>
        <v>0</v>
      </c>
      <c r="BG28" s="1401">
        <f t="shared" si="44"/>
        <v>0</v>
      </c>
      <c r="BH28" s="112">
        <f t="shared" si="44"/>
        <v>109931525.98999999</v>
      </c>
      <c r="BI28" s="1401">
        <f t="shared" si="44"/>
        <v>109931525.98999999</v>
      </c>
      <c r="BJ28" s="1401">
        <f t="shared" si="44"/>
        <v>0</v>
      </c>
      <c r="BK28" s="1401">
        <f t="shared" si="44"/>
        <v>0</v>
      </c>
      <c r="BL28" s="111">
        <f t="shared" si="44"/>
        <v>28115776.82</v>
      </c>
      <c r="BM28" s="1401">
        <f t="shared" ref="BM28" si="46">SUM(BM10:BM27)</f>
        <v>28115776.82</v>
      </c>
      <c r="BN28" s="1401">
        <f t="shared" si="44"/>
        <v>0</v>
      </c>
      <c r="BO28" s="1401">
        <f t="shared" si="44"/>
        <v>0</v>
      </c>
      <c r="BP28" s="111">
        <f t="shared" si="35"/>
        <v>0</v>
      </c>
      <c r="BQ28" s="1401">
        <f t="shared" ref="BQ28:BS28" si="47">SUM(BQ10:BQ27)</f>
        <v>0</v>
      </c>
      <c r="BR28" s="1401">
        <f t="shared" si="47"/>
        <v>0</v>
      </c>
      <c r="BS28" s="1401">
        <f t="shared" si="47"/>
        <v>0</v>
      </c>
      <c r="BT28" s="111">
        <f t="shared" si="35"/>
        <v>0</v>
      </c>
      <c r="BU28" s="1401">
        <f t="shared" si="35"/>
        <v>0</v>
      </c>
      <c r="BV28" s="1401">
        <f t="shared" si="35"/>
        <v>0</v>
      </c>
      <c r="BW28" s="1418">
        <f t="shared" si="35"/>
        <v>0</v>
      </c>
      <c r="BX28" s="115">
        <f t="shared" si="35"/>
        <v>18848700.039999999</v>
      </c>
      <c r="BY28" s="1401">
        <f t="shared" ref="BY28:CA28" si="48">SUM(BY10:BY27)</f>
        <v>9673085.0700000003</v>
      </c>
      <c r="BZ28" s="1401">
        <f t="shared" si="48"/>
        <v>8203616.8300000001</v>
      </c>
      <c r="CA28" s="1401">
        <f t="shared" si="48"/>
        <v>971998.14</v>
      </c>
      <c r="CB28" s="111">
        <f t="shared" si="35"/>
        <v>17937970.479999997</v>
      </c>
      <c r="CC28" s="1401">
        <f t="shared" si="35"/>
        <v>9369022.4499999993</v>
      </c>
      <c r="CD28" s="1418">
        <f t="shared" si="35"/>
        <v>7596949.8899999997</v>
      </c>
      <c r="CE28" s="1441">
        <f t="shared" si="35"/>
        <v>971998.14000000013</v>
      </c>
      <c r="CF28" s="115">
        <f t="shared" si="35"/>
        <v>192346.00000000003</v>
      </c>
      <c r="CG28" s="1401">
        <f t="shared" ref="CG28:CI28" si="49">SUM(CG10:CG27)</f>
        <v>180350.22000000003</v>
      </c>
      <c r="CH28" s="1418">
        <f t="shared" si="49"/>
        <v>0</v>
      </c>
      <c r="CI28" s="1431">
        <f t="shared" si="49"/>
        <v>11995.779999999999</v>
      </c>
      <c r="CJ28" s="111">
        <f t="shared" si="35"/>
        <v>192346.00000000003</v>
      </c>
      <c r="CK28" s="1401">
        <f t="shared" si="35"/>
        <v>180350.22000000003</v>
      </c>
      <c r="CL28" s="1418">
        <f t="shared" si="35"/>
        <v>0</v>
      </c>
      <c r="CM28" s="1431">
        <f t="shared" si="35"/>
        <v>11995.779999999999</v>
      </c>
      <c r="CN28" s="111">
        <f t="shared" si="35"/>
        <v>240900</v>
      </c>
      <c r="CO28" s="1401">
        <f t="shared" ref="CO28:CQ28" si="50">SUM(CO10:CO27)</f>
        <v>194274.19999999998</v>
      </c>
      <c r="CP28" s="1418">
        <f t="shared" si="50"/>
        <v>23312.9</v>
      </c>
      <c r="CQ28" s="1431">
        <f t="shared" si="50"/>
        <v>23312.9</v>
      </c>
      <c r="CR28" s="111">
        <f t="shared" si="35"/>
        <v>240900</v>
      </c>
      <c r="CS28" s="1401">
        <f t="shared" si="35"/>
        <v>194274.19999999998</v>
      </c>
      <c r="CT28" s="1418">
        <f t="shared" si="35"/>
        <v>23312.9</v>
      </c>
      <c r="CU28" s="1431">
        <f t="shared" si="35"/>
        <v>23312.9</v>
      </c>
      <c r="CV28" s="112">
        <f t="shared" si="35"/>
        <v>0</v>
      </c>
      <c r="CW28" s="1401">
        <f t="shared" ref="CW28:CY28" si="51">SUM(CW10:CW27)</f>
        <v>0</v>
      </c>
      <c r="CX28" s="1401">
        <f t="shared" si="51"/>
        <v>0</v>
      </c>
      <c r="CY28" s="1401">
        <f t="shared" si="51"/>
        <v>0</v>
      </c>
      <c r="CZ28" s="111">
        <f t="shared" si="35"/>
        <v>0</v>
      </c>
      <c r="DA28" s="1401">
        <f t="shared" si="35"/>
        <v>0</v>
      </c>
      <c r="DB28" s="1401">
        <f t="shared" si="35"/>
        <v>0</v>
      </c>
      <c r="DC28" s="1401">
        <f t="shared" si="35"/>
        <v>0</v>
      </c>
      <c r="DD28" s="112">
        <f t="shared" si="35"/>
        <v>44458800</v>
      </c>
      <c r="DE28" s="1401">
        <f t="shared" ref="DE28:DG28" si="52">SUM(DE10:DE27)</f>
        <v>0</v>
      </c>
      <c r="DF28" s="1401">
        <f t="shared" si="52"/>
        <v>44458800</v>
      </c>
      <c r="DG28" s="1401">
        <f t="shared" si="52"/>
        <v>0</v>
      </c>
      <c r="DH28" s="111">
        <f t="shared" si="35"/>
        <v>8044658.96</v>
      </c>
      <c r="DI28" s="1401">
        <f t="shared" si="35"/>
        <v>0</v>
      </c>
      <c r="DJ28" s="1401">
        <f t="shared" si="35"/>
        <v>8044658.96</v>
      </c>
      <c r="DK28" s="1401">
        <f t="shared" si="35"/>
        <v>0</v>
      </c>
      <c r="DL28" s="112">
        <f t="shared" si="35"/>
        <v>156353100</v>
      </c>
      <c r="DM28" s="1401">
        <f t="shared" ref="DM28:DO28" si="53">SUM(DM10:DM27)</f>
        <v>156353100</v>
      </c>
      <c r="DN28" s="1401">
        <f t="shared" si="53"/>
        <v>0</v>
      </c>
      <c r="DO28" s="1401">
        <f t="shared" si="53"/>
        <v>0</v>
      </c>
      <c r="DP28" s="111">
        <f t="shared" si="35"/>
        <v>113162414.44999999</v>
      </c>
      <c r="DQ28" s="1401">
        <f t="shared" si="35"/>
        <v>113162414.44999999</v>
      </c>
      <c r="DR28" s="1401">
        <f t="shared" si="35"/>
        <v>0</v>
      </c>
      <c r="DS28" s="1401">
        <f t="shared" si="35"/>
        <v>0</v>
      </c>
      <c r="DT28" s="111">
        <f t="shared" si="35"/>
        <v>0</v>
      </c>
      <c r="DU28" s="1401">
        <f t="shared" ref="DU28:DW28" si="54">SUM(DU10:DU27)</f>
        <v>0</v>
      </c>
      <c r="DV28" s="1401">
        <f t="shared" si="54"/>
        <v>0</v>
      </c>
      <c r="DW28" s="1401">
        <f t="shared" si="54"/>
        <v>0</v>
      </c>
      <c r="DX28" s="111">
        <f t="shared" si="35"/>
        <v>0</v>
      </c>
      <c r="DY28" s="1401">
        <f t="shared" si="35"/>
        <v>0</v>
      </c>
      <c r="DZ28" s="1401">
        <f t="shared" si="35"/>
        <v>0</v>
      </c>
      <c r="EA28" s="1401">
        <f t="shared" si="35"/>
        <v>0</v>
      </c>
      <c r="EB28" s="112">
        <f>SUM(EB10:EB27)</f>
        <v>0</v>
      </c>
      <c r="EC28" s="1401">
        <f t="shared" ref="EC28:EE28" si="55">SUM(EC10:EC27)</f>
        <v>0</v>
      </c>
      <c r="ED28" s="1401">
        <f t="shared" si="55"/>
        <v>0</v>
      </c>
      <c r="EE28" s="1401">
        <f t="shared" si="55"/>
        <v>0</v>
      </c>
      <c r="EF28" s="111">
        <f>SUM(EF10:EF27)</f>
        <v>0</v>
      </c>
      <c r="EG28" s="1401">
        <f t="shared" ref="EG28:EI28" si="56">SUM(EG10:EG27)</f>
        <v>0</v>
      </c>
      <c r="EH28" s="1401">
        <f t="shared" si="56"/>
        <v>0</v>
      </c>
      <c r="EI28" s="1401">
        <f t="shared" si="56"/>
        <v>0</v>
      </c>
      <c r="EJ28" s="112">
        <f>SUM(EJ10:EJ27)</f>
        <v>0</v>
      </c>
      <c r="EK28" s="1401">
        <f t="shared" ref="EK28:EM28" si="57">SUM(EK10:EK27)</f>
        <v>0</v>
      </c>
      <c r="EL28" s="1401">
        <f t="shared" si="57"/>
        <v>0</v>
      </c>
      <c r="EM28" s="1401">
        <f t="shared" si="57"/>
        <v>0</v>
      </c>
      <c r="EN28" s="111">
        <f>SUM(EN10:EN27)</f>
        <v>0</v>
      </c>
      <c r="EO28" s="1401">
        <f t="shared" ref="EO28:EQ28" si="58">SUM(EO10:EO27)</f>
        <v>0</v>
      </c>
      <c r="EP28" s="1401">
        <f t="shared" si="58"/>
        <v>0</v>
      </c>
      <c r="EQ28" s="1401">
        <f t="shared" si="58"/>
        <v>0</v>
      </c>
      <c r="ER28" s="112">
        <f t="shared" si="35"/>
        <v>0</v>
      </c>
      <c r="ES28" s="1401">
        <f t="shared" ref="ES28:EU28" si="59">SUM(ES10:ES27)</f>
        <v>0</v>
      </c>
      <c r="ET28" s="1401">
        <f t="shared" si="59"/>
        <v>0</v>
      </c>
      <c r="EU28" s="1401">
        <f t="shared" si="59"/>
        <v>0</v>
      </c>
      <c r="EV28" s="111">
        <f t="shared" si="35"/>
        <v>0</v>
      </c>
      <c r="EW28" s="1401">
        <f t="shared" si="35"/>
        <v>0</v>
      </c>
      <c r="EX28" s="1401">
        <f t="shared" si="35"/>
        <v>0</v>
      </c>
      <c r="EY28" s="1418">
        <f t="shared" si="35"/>
        <v>0</v>
      </c>
      <c r="EZ28" s="115">
        <f t="shared" si="35"/>
        <v>32296300</v>
      </c>
      <c r="FA28" s="1401">
        <f t="shared" ref="FA28:FC28" si="60">SUM(FA10:FA27)</f>
        <v>0</v>
      </c>
      <c r="FB28" s="1418">
        <f t="shared" si="60"/>
        <v>0</v>
      </c>
      <c r="FC28" s="1431">
        <f t="shared" si="60"/>
        <v>32296300</v>
      </c>
      <c r="FD28" s="111">
        <f t="shared" si="35"/>
        <v>16419165.65</v>
      </c>
      <c r="FE28" s="1401">
        <f t="shared" si="35"/>
        <v>0</v>
      </c>
      <c r="FF28" s="1418">
        <f t="shared" si="35"/>
        <v>0</v>
      </c>
      <c r="FG28" s="1441">
        <f t="shared" si="35"/>
        <v>16419165.65</v>
      </c>
      <c r="FH28" s="115">
        <f t="shared" si="35"/>
        <v>22800000</v>
      </c>
      <c r="FI28" s="1401">
        <f t="shared" ref="FI28:FK28" si="61">SUM(FI10:FI27)</f>
        <v>0</v>
      </c>
      <c r="FJ28" s="1401">
        <f t="shared" si="61"/>
        <v>0</v>
      </c>
      <c r="FK28" s="1401">
        <f t="shared" si="61"/>
        <v>22800000</v>
      </c>
      <c r="FL28" s="111">
        <f t="shared" si="35"/>
        <v>15124007.6</v>
      </c>
      <c r="FM28" s="1401">
        <f t="shared" si="35"/>
        <v>0</v>
      </c>
      <c r="FN28" s="1418">
        <f t="shared" si="35"/>
        <v>0</v>
      </c>
      <c r="FO28" s="1431">
        <f t="shared" si="35"/>
        <v>15124007.6</v>
      </c>
      <c r="FP28" s="114">
        <f t="shared" si="35"/>
        <v>0</v>
      </c>
      <c r="FQ28" s="1401">
        <f t="shared" ref="FQ28:FS28" si="62">SUM(FQ10:FQ27)</f>
        <v>0</v>
      </c>
      <c r="FR28" s="1401">
        <f t="shared" si="62"/>
        <v>0</v>
      </c>
      <c r="FS28" s="1401">
        <f t="shared" si="62"/>
        <v>0</v>
      </c>
      <c r="FT28" s="111">
        <f t="shared" si="35"/>
        <v>0</v>
      </c>
      <c r="FU28" s="1401">
        <f t="shared" si="35"/>
        <v>0</v>
      </c>
      <c r="FV28" s="1401">
        <f t="shared" si="35"/>
        <v>0</v>
      </c>
      <c r="FW28" s="1418">
        <f t="shared" si="35"/>
        <v>0</v>
      </c>
      <c r="FX28" s="115">
        <f t="shared" si="35"/>
        <v>1688800</v>
      </c>
      <c r="FY28" s="1401">
        <f t="shared" ref="FY28:GA28" si="63">SUM(FY10:FY27)</f>
        <v>0</v>
      </c>
      <c r="FZ28" s="1401">
        <f t="shared" si="63"/>
        <v>1688800</v>
      </c>
      <c r="GA28" s="1401">
        <f t="shared" si="63"/>
        <v>0</v>
      </c>
      <c r="GB28" s="111">
        <f t="shared" si="35"/>
        <v>1396786.19</v>
      </c>
      <c r="GC28" s="1401">
        <f t="shared" si="35"/>
        <v>0</v>
      </c>
      <c r="GD28" s="1401">
        <f t="shared" si="35"/>
        <v>1396786.19</v>
      </c>
      <c r="GE28" s="1401">
        <f t="shared" si="35"/>
        <v>0</v>
      </c>
      <c r="GF28" s="112">
        <f t="shared" si="35"/>
        <v>0</v>
      </c>
      <c r="GG28" s="1401">
        <f t="shared" ref="GG28:GI28" si="64">SUM(GG10:GG27)</f>
        <v>0</v>
      </c>
      <c r="GH28" s="1401">
        <f t="shared" si="64"/>
        <v>0</v>
      </c>
      <c r="GI28" s="1401">
        <f t="shared" si="64"/>
        <v>0</v>
      </c>
      <c r="GJ28" s="112">
        <f t="shared" si="35"/>
        <v>0</v>
      </c>
      <c r="GK28" s="1401">
        <f t="shared" si="35"/>
        <v>0</v>
      </c>
      <c r="GL28" s="1401">
        <f t="shared" si="35"/>
        <v>0</v>
      </c>
      <c r="GM28" s="1401">
        <f t="shared" si="35"/>
        <v>0</v>
      </c>
      <c r="GN28" s="111">
        <f t="shared" si="35"/>
        <v>1466000</v>
      </c>
      <c r="GO28" s="1401">
        <f t="shared" ref="GO28:GQ28" si="65">SUM(GO10:GO27)</f>
        <v>0</v>
      </c>
      <c r="GP28" s="1401">
        <f t="shared" si="65"/>
        <v>1466000</v>
      </c>
      <c r="GQ28" s="1401">
        <f t="shared" si="65"/>
        <v>0</v>
      </c>
      <c r="GR28" s="111">
        <f t="shared" si="35"/>
        <v>0</v>
      </c>
      <c r="GS28" s="1401">
        <f t="shared" si="35"/>
        <v>0</v>
      </c>
      <c r="GT28" s="1401">
        <f t="shared" si="35"/>
        <v>0</v>
      </c>
      <c r="GU28" s="1401">
        <f t="shared" si="35"/>
        <v>0</v>
      </c>
      <c r="GV28" s="112">
        <f t="shared" si="35"/>
        <v>29278500</v>
      </c>
      <c r="GW28" s="1401">
        <f t="shared" ref="GW28:GY28" si="66">SUM(GW10:GW27)</f>
        <v>0</v>
      </c>
      <c r="GX28" s="1401">
        <f t="shared" si="66"/>
        <v>29278500</v>
      </c>
      <c r="GY28" s="1401">
        <f t="shared" si="66"/>
        <v>0</v>
      </c>
      <c r="GZ28" s="111">
        <f t="shared" si="35"/>
        <v>24268288.16</v>
      </c>
      <c r="HA28" s="1401">
        <f t="shared" si="35"/>
        <v>0</v>
      </c>
      <c r="HB28" s="1401">
        <f t="shared" si="35"/>
        <v>24268288.16</v>
      </c>
      <c r="HC28" s="1401">
        <f t="shared" si="35"/>
        <v>0</v>
      </c>
      <c r="HD28" s="112">
        <f t="shared" si="35"/>
        <v>7879434.7299999995</v>
      </c>
      <c r="HE28" s="1401">
        <f t="shared" ref="HE28:HG28" si="67">SUM(HE10:HE27)</f>
        <v>4594376.42</v>
      </c>
      <c r="HF28" s="1418">
        <f t="shared" si="67"/>
        <v>3285058.3099999996</v>
      </c>
      <c r="HG28" s="1401">
        <f t="shared" si="67"/>
        <v>0</v>
      </c>
      <c r="HH28" s="111">
        <f t="shared" si="35"/>
        <v>3216230.96</v>
      </c>
      <c r="HI28" s="1401">
        <f t="shared" ref="HI28:HK28" si="68">SUM(HI10:HI27)</f>
        <v>0</v>
      </c>
      <c r="HJ28" s="1418">
        <f t="shared" si="68"/>
        <v>3216230.96</v>
      </c>
      <c r="HK28" s="1401">
        <f t="shared" si="68"/>
        <v>0</v>
      </c>
      <c r="HL28" s="111">
        <f>SUM(HL10:HL27)</f>
        <v>41400687.959999993</v>
      </c>
      <c r="HM28" s="1401">
        <f t="shared" ref="HM28:HO28" si="69">SUM(HM10:HM27)</f>
        <v>41400687.959999993</v>
      </c>
      <c r="HN28" s="1401">
        <f t="shared" si="69"/>
        <v>0</v>
      </c>
      <c r="HO28" s="1401">
        <f t="shared" si="69"/>
        <v>0</v>
      </c>
      <c r="HP28" s="111">
        <f>SUM(HP10:HP27)</f>
        <v>14824760.800000001</v>
      </c>
      <c r="HQ28" s="1401">
        <f t="shared" ref="HQ28" si="70">SUM(HQ10:HQ27)</f>
        <v>14824760.800000001</v>
      </c>
      <c r="HR28" s="1401">
        <f t="shared" ref="HR28:HS28" si="71">SUM(HR10:HR27)</f>
        <v>0</v>
      </c>
      <c r="HS28" s="1418">
        <f t="shared" si="71"/>
        <v>0</v>
      </c>
    </row>
    <row r="29" spans="1:227" ht="25.5" customHeight="1" x14ac:dyDescent="0.3">
      <c r="A29" s="105"/>
      <c r="B29" s="1445">
        <f t="shared" si="13"/>
        <v>0</v>
      </c>
      <c r="C29" s="1445">
        <f t="shared" si="14"/>
        <v>0</v>
      </c>
      <c r="D29" s="154"/>
      <c r="E29" s="1421"/>
      <c r="F29" s="1421"/>
      <c r="G29" s="1421"/>
      <c r="H29" s="154"/>
      <c r="I29" s="1421"/>
      <c r="J29" s="1421"/>
      <c r="K29" s="1421"/>
      <c r="L29" s="122"/>
      <c r="M29" s="1435"/>
      <c r="N29" s="1402"/>
      <c r="O29" s="1403"/>
      <c r="P29" s="120"/>
      <c r="Q29" s="1402"/>
      <c r="R29" s="1402"/>
      <c r="S29" s="1403"/>
      <c r="T29" s="198"/>
      <c r="U29" s="1402"/>
      <c r="V29" s="1402"/>
      <c r="W29" s="1403"/>
      <c r="X29" s="119"/>
      <c r="Y29" s="1402"/>
      <c r="Z29" s="1402"/>
      <c r="AA29" s="1402"/>
      <c r="AB29" s="122"/>
      <c r="AC29" s="1402"/>
      <c r="AD29" s="1402"/>
      <c r="AE29" s="1403"/>
      <c r="AF29" s="119"/>
      <c r="AG29" s="1402"/>
      <c r="AH29" s="1402"/>
      <c r="AI29" s="1403"/>
      <c r="AJ29" s="120"/>
      <c r="AK29" s="1402"/>
      <c r="AL29" s="1402"/>
      <c r="AM29" s="1403"/>
      <c r="AN29" s="818"/>
      <c r="AO29" s="1402"/>
      <c r="AP29" s="1402"/>
      <c r="AQ29" s="1403"/>
      <c r="AR29" s="198"/>
      <c r="AS29" s="1402"/>
      <c r="AT29" s="1402"/>
      <c r="AU29" s="1403"/>
      <c r="AV29" s="119"/>
      <c r="AW29" s="1402"/>
      <c r="AX29" s="1402"/>
      <c r="AY29" s="1403"/>
      <c r="AZ29" s="120"/>
      <c r="BA29" s="1402"/>
      <c r="BB29" s="1402"/>
      <c r="BC29" s="1403"/>
      <c r="BD29" s="119"/>
      <c r="BE29" s="1402"/>
      <c r="BF29" s="1402"/>
      <c r="BG29" s="1403"/>
      <c r="BH29" s="198"/>
      <c r="BI29" s="1402"/>
      <c r="BJ29" s="1402"/>
      <c r="BK29" s="1403"/>
      <c r="BL29" s="119"/>
      <c r="BM29" s="1402"/>
      <c r="BN29" s="1402"/>
      <c r="BO29" s="1403"/>
      <c r="BP29" s="120"/>
      <c r="BQ29" s="1402"/>
      <c r="BR29" s="1402"/>
      <c r="BS29" s="1403"/>
      <c r="BT29" s="119"/>
      <c r="BU29" s="1402"/>
      <c r="BV29" s="1402"/>
      <c r="BW29" s="1402"/>
      <c r="BX29" s="122"/>
      <c r="BY29" s="1402"/>
      <c r="BZ29" s="1402"/>
      <c r="CA29" s="1403"/>
      <c r="CB29" s="119"/>
      <c r="CC29" s="1402"/>
      <c r="CD29" s="1402"/>
      <c r="CE29" s="1403"/>
      <c r="CF29" s="664"/>
      <c r="CG29" s="1402"/>
      <c r="CH29" s="1402"/>
      <c r="CI29" s="1403"/>
      <c r="CJ29" s="117"/>
      <c r="CK29" s="1402"/>
      <c r="CL29" s="1402"/>
      <c r="CM29" s="1403"/>
      <c r="CN29" s="113"/>
      <c r="CO29" s="1402"/>
      <c r="CP29" s="1402"/>
      <c r="CQ29" s="1403"/>
      <c r="CR29" s="117"/>
      <c r="CS29" s="1402"/>
      <c r="CT29" s="1402"/>
      <c r="CU29" s="1403"/>
      <c r="CV29" s="198"/>
      <c r="CW29" s="1402"/>
      <c r="CX29" s="1402"/>
      <c r="CY29" s="1403"/>
      <c r="CZ29" s="119"/>
      <c r="DA29" s="1402"/>
      <c r="DB29" s="1402"/>
      <c r="DC29" s="1403"/>
      <c r="DD29" s="198"/>
      <c r="DE29" s="1402"/>
      <c r="DF29" s="1402"/>
      <c r="DG29" s="1403"/>
      <c r="DH29" s="119"/>
      <c r="DI29" s="1402"/>
      <c r="DJ29" s="1402"/>
      <c r="DK29" s="1403"/>
      <c r="DL29" s="198"/>
      <c r="DM29" s="1402"/>
      <c r="DN29" s="1402"/>
      <c r="DO29" s="1403"/>
      <c r="DP29" s="119"/>
      <c r="DQ29" s="1402"/>
      <c r="DR29" s="1402"/>
      <c r="DS29" s="1403"/>
      <c r="DT29" s="120"/>
      <c r="DU29" s="1402"/>
      <c r="DV29" s="1402"/>
      <c r="DW29" s="1403"/>
      <c r="DX29" s="119"/>
      <c r="DY29" s="1402"/>
      <c r="DZ29" s="1402"/>
      <c r="EA29" s="1403"/>
      <c r="EB29" s="198"/>
      <c r="EC29" s="1402"/>
      <c r="ED29" s="1402"/>
      <c r="EE29" s="1403"/>
      <c r="EF29" s="119"/>
      <c r="EG29" s="1402"/>
      <c r="EH29" s="1402"/>
      <c r="EI29" s="1403"/>
      <c r="EJ29" s="198"/>
      <c r="EK29" s="1402"/>
      <c r="EL29" s="1402"/>
      <c r="EM29" s="1403"/>
      <c r="EN29" s="119"/>
      <c r="EO29" s="1402"/>
      <c r="EP29" s="1402"/>
      <c r="EQ29" s="1403"/>
      <c r="ER29" s="198"/>
      <c r="ES29" s="1402"/>
      <c r="ET29" s="1402"/>
      <c r="EU29" s="1403"/>
      <c r="EV29" s="119"/>
      <c r="EW29" s="1402"/>
      <c r="EX29" s="1402"/>
      <c r="EY29" s="1403"/>
      <c r="EZ29" s="198"/>
      <c r="FA29" s="1435"/>
      <c r="FB29" s="1402"/>
      <c r="FC29" s="1403"/>
      <c r="FD29" s="119"/>
      <c r="FE29" s="1402"/>
      <c r="FF29" s="1402"/>
      <c r="FG29" s="1402"/>
      <c r="FH29" s="122"/>
      <c r="FI29" s="1402"/>
      <c r="FJ29" s="1402"/>
      <c r="FK29" s="1403"/>
      <c r="FL29" s="119"/>
      <c r="FM29" s="1402"/>
      <c r="FN29" s="1402"/>
      <c r="FO29" s="1403"/>
      <c r="FP29" s="120"/>
      <c r="FQ29" s="1402"/>
      <c r="FR29" s="1402"/>
      <c r="FS29" s="1403"/>
      <c r="FT29" s="119"/>
      <c r="FU29" s="1402"/>
      <c r="FV29" s="1402"/>
      <c r="FW29" s="1402"/>
      <c r="FX29" s="122"/>
      <c r="FY29" s="1402"/>
      <c r="FZ29" s="1402"/>
      <c r="GA29" s="1403"/>
      <c r="GB29" s="119"/>
      <c r="GC29" s="1402"/>
      <c r="GD29" s="1402"/>
      <c r="GE29" s="1403"/>
      <c r="GF29" s="198"/>
      <c r="GG29" s="1402"/>
      <c r="GH29" s="1402"/>
      <c r="GI29" s="1403"/>
      <c r="GJ29" s="818"/>
      <c r="GK29" s="1402"/>
      <c r="GL29" s="1402"/>
      <c r="GM29" s="1403"/>
      <c r="GN29" s="120"/>
      <c r="GO29" s="1402"/>
      <c r="GP29" s="1402"/>
      <c r="GQ29" s="1403"/>
      <c r="GR29" s="119"/>
      <c r="GS29" s="1402"/>
      <c r="GT29" s="1402"/>
      <c r="GU29" s="1403"/>
      <c r="GV29" s="198"/>
      <c r="GW29" s="1402"/>
      <c r="GX29" s="1402"/>
      <c r="GY29" s="1403"/>
      <c r="GZ29" s="119"/>
      <c r="HA29" s="1402"/>
      <c r="HB29" s="1402"/>
      <c r="HC29" s="1403"/>
      <c r="HD29" s="198"/>
      <c r="HE29" s="1402"/>
      <c r="HF29" s="1402"/>
      <c r="HG29" s="1403"/>
      <c r="HH29" s="119"/>
      <c r="HI29" s="1402"/>
      <c r="HJ29" s="1402"/>
      <c r="HK29" s="1403"/>
      <c r="HL29" s="120"/>
      <c r="HM29" s="1402"/>
      <c r="HN29" s="1402"/>
      <c r="HO29" s="1403"/>
      <c r="HP29" s="119"/>
      <c r="HQ29" s="1402"/>
      <c r="HR29" s="1402"/>
      <c r="HS29" s="1402"/>
    </row>
    <row r="30" spans="1:227" ht="25.5" customHeight="1" x14ac:dyDescent="0.3">
      <c r="A30" s="102" t="s">
        <v>5</v>
      </c>
      <c r="B30" s="1445">
        <f t="shared" si="13"/>
        <v>5200</v>
      </c>
      <c r="C30" s="1445">
        <f t="shared" si="14"/>
        <v>0</v>
      </c>
      <c r="D30" s="101">
        <f t="shared" ref="D30:D31" si="72">AB30+AJ30+CF30+CN30+BX30+GF30+EZ30+FH30+L30+DL30+HD30+EJ30+ER30+FX30+GV30+HL30+GN30+BP30+CV30+AR30+DD30+T30+AZ30+BH30+DT30+EB30+FP30</f>
        <v>74855661.900000006</v>
      </c>
      <c r="E30" s="1397">
        <f t="shared" ref="E30:E31" si="73">AC30+AK30+CG30+CO30+BY30+GG30+FA30+FI30+M30+DM30+HE30+EK30+ES30+FY30+GW30+HM30+GO30+BQ30+CW30+AS30+DE30+U30+BA30+BI30+DU30+EC30+FQ30</f>
        <v>74850461.900000006</v>
      </c>
      <c r="F30" s="1397">
        <f t="shared" ref="F30:F31" si="74">AD30+AL30+CH30+CP30+BZ30+GH30+FB30+FJ30+N30+DN30+HF30+EL30+ET30+FZ30+GX30+HN30+GP30+BR30+CX30+AT30+DF30+V30+BB30+BJ30+DV30+ED30+FR30</f>
        <v>0</v>
      </c>
      <c r="G30" s="1397">
        <f t="shared" ref="G30:G31" si="75">AE30+AM30+CI30+CQ30+CA30+GI30+FC30+FK30+O30+DO30+HG30+EM30+EU30+GA30+GY30+HO30+GQ30+BS30+CY30+AU30+DG30+W30+BC30+BK30+DW30+EE30+FS30</f>
        <v>0</v>
      </c>
      <c r="H30" s="101">
        <f>AF30+AN30+CJ30+CR30+CB30+GJ30+FD30+FL30+P30+DP30+HH30+EN30+EV30+GB30+GZ30+HP30+GR30+BT30+CZ30+AV30+DH30+X30+BD30+BL30+DX30+EF30+FT30</f>
        <v>11781397.73</v>
      </c>
      <c r="I30" s="1397">
        <f t="shared" ref="I30:I31" si="76">AG30+AO30+CK30+CS30+CC30+GK30+FE30+FM30+Q30+DQ30+HI30+EO30+EW30+GC30+HA30+HQ30+GS30+BU30+DA30+AW30+DI30+Y30+BE30+BM30+DY30+EG30+FU30</f>
        <v>11781397.73</v>
      </c>
      <c r="J30" s="1397">
        <f t="shared" ref="J30:J31" si="77">AH30+AP30+CL30+CT30+CD30+GL30+FF30+FN30+R30+DR30+HJ30+EP30+EX30+GD30+HB30+HR30+GT30+BV30+DB30+AX30+DJ30+Z30+BF30+BN30+DZ30+EH30+FV30</f>
        <v>0</v>
      </c>
      <c r="K30" s="1397">
        <f t="shared" ref="K30:K31" si="78">AI30+AQ30+CM30+CU30+CE30+GM30+FG30+FO30+S30+DS30+HK30+EQ30+EY30+GE30+HC30+HS30+GU30+BW30+DC30+AY30+DK30+AA30+BG30+BO30+EA30+EI30+FW30</f>
        <v>0</v>
      </c>
      <c r="L30" s="104">
        <f>'Проверочная  таблица'!DE32+'Проверочная  таблица'!DG32</f>
        <v>13574122.119999999</v>
      </c>
      <c r="M30" s="1428">
        <f>'Проверочная  таблица'!DE32</f>
        <v>13574122.119999999</v>
      </c>
      <c r="N30" s="1397"/>
      <c r="O30" s="1425">
        <f>'Проверочная  таблица'!DG32</f>
        <v>0</v>
      </c>
      <c r="P30" s="101">
        <f>'Проверочная  таблица'!DF32+'Проверочная  таблица'!DH32</f>
        <v>4072236.64</v>
      </c>
      <c r="Q30" s="1428">
        <f>'Проверочная  таблица'!DF32</f>
        <v>4072236.64</v>
      </c>
      <c r="R30" s="1397"/>
      <c r="S30" s="1425">
        <f>'Проверочная  таблица'!DH32</f>
        <v>0</v>
      </c>
      <c r="T30" s="103">
        <f>'Проверочная  таблица'!DX32</f>
        <v>0</v>
      </c>
      <c r="U30" s="1397">
        <f t="shared" ref="U30:U31" si="79">T30</f>
        <v>0</v>
      </c>
      <c r="V30" s="1397"/>
      <c r="W30" s="1398"/>
      <c r="X30" s="101">
        <f>'Проверочная  таблица'!EF32</f>
        <v>0</v>
      </c>
      <c r="Y30" s="1397">
        <f t="shared" ref="Y30:Y31" si="80">X30</f>
        <v>0</v>
      </c>
      <c r="Z30" s="1397"/>
      <c r="AA30" s="1397"/>
      <c r="AB30" s="104">
        <f>'Проверочная  таблица'!DZ32</f>
        <v>0</v>
      </c>
      <c r="AC30" s="1397">
        <f t="shared" ref="AC30:AC31" si="81">AB30</f>
        <v>0</v>
      </c>
      <c r="AD30" s="1397"/>
      <c r="AE30" s="1398"/>
      <c r="AF30" s="101">
        <f>'Проверочная  таблица'!EH32</f>
        <v>0</v>
      </c>
      <c r="AG30" s="1397">
        <f t="shared" ref="AG30:AG31" si="82">AF30</f>
        <v>0</v>
      </c>
      <c r="AH30" s="1397"/>
      <c r="AI30" s="1398"/>
      <c r="AJ30" s="101">
        <f>'Проверочная  таблица'!EU32</f>
        <v>0</v>
      </c>
      <c r="AK30" s="1397">
        <f t="shared" ref="AK30:AK31" si="83">AJ30</f>
        <v>0</v>
      </c>
      <c r="AL30" s="1397"/>
      <c r="AM30" s="1398"/>
      <c r="AN30" s="103">
        <f>'Проверочная  таблица'!EX32</f>
        <v>0</v>
      </c>
      <c r="AO30" s="1397">
        <f t="shared" ref="AO30:AO31" si="84">AN30</f>
        <v>0</v>
      </c>
      <c r="AP30" s="1397"/>
      <c r="AQ30" s="1398"/>
      <c r="AR30" s="103">
        <f>'Проверочная  таблица'!FG32</f>
        <v>2721180</v>
      </c>
      <c r="AS30" s="1397">
        <f t="shared" ref="AS30:AS31" si="85">AR30</f>
        <v>2721180</v>
      </c>
      <c r="AT30" s="1397"/>
      <c r="AU30" s="1398"/>
      <c r="AV30" s="101">
        <f>'Проверочная  таблица'!FL32</f>
        <v>0</v>
      </c>
      <c r="AW30" s="1397">
        <f t="shared" ref="AW30:AW31" si="86">AV30</f>
        <v>0</v>
      </c>
      <c r="AX30" s="1397"/>
      <c r="AY30" s="1398"/>
      <c r="AZ30" s="101">
        <f>'Проверочная  таблица'!FI32</f>
        <v>0</v>
      </c>
      <c r="BA30" s="1397"/>
      <c r="BB30" s="1397"/>
      <c r="BC30" s="1398"/>
      <c r="BD30" s="101">
        <f>'Проверочная  таблица'!FN32</f>
        <v>0</v>
      </c>
      <c r="BE30" s="1397"/>
      <c r="BF30" s="1397"/>
      <c r="BG30" s="1398"/>
      <c r="BH30" s="103">
        <f>'Проверочная  таблица'!FQ32</f>
        <v>0</v>
      </c>
      <c r="BI30" s="1397">
        <f t="shared" ref="BI30:BI31" si="87">BH30</f>
        <v>0</v>
      </c>
      <c r="BJ30" s="1397"/>
      <c r="BK30" s="1398"/>
      <c r="BL30" s="101">
        <f>'Проверочная  таблица'!FT32</f>
        <v>0</v>
      </c>
      <c r="BM30" s="1397">
        <f t="shared" ref="BM30:BM31" si="88">BL30</f>
        <v>0</v>
      </c>
      <c r="BN30" s="1397"/>
      <c r="BO30" s="1398"/>
      <c r="BP30" s="101">
        <f>'Проверочная  таблица'!FW32</f>
        <v>4379100</v>
      </c>
      <c r="BQ30" s="1397">
        <f>BP30</f>
        <v>4379100</v>
      </c>
      <c r="BR30" s="1397"/>
      <c r="BS30" s="1398"/>
      <c r="BT30" s="101">
        <f>'Проверочная  таблица'!FZ32</f>
        <v>3837218.05</v>
      </c>
      <c r="BU30" s="1397">
        <f>BT30</f>
        <v>3837218.05</v>
      </c>
      <c r="BV30" s="1397"/>
      <c r="BW30" s="1397"/>
      <c r="BX30" s="104">
        <f>'Проверочная  таблица'!GC32+'Проверочная  таблица'!GI32</f>
        <v>0</v>
      </c>
      <c r="BY30" s="1397"/>
      <c r="BZ30" s="1397"/>
      <c r="CA30" s="1398"/>
      <c r="CB30" s="101">
        <f>'Проверочная  таблица'!GF32+'Проверочная  таблица'!GL32</f>
        <v>0</v>
      </c>
      <c r="CC30" s="1397"/>
      <c r="CD30" s="1397"/>
      <c r="CE30" s="1398"/>
      <c r="CF30" s="103">
        <f>'Проверочная  таблица'!HI32+'Проверочная  таблица'!IA32</f>
        <v>26059.78</v>
      </c>
      <c r="CG30" s="1428">
        <f>'Проверочная  таблица'!HI32</f>
        <v>26059.78</v>
      </c>
      <c r="CH30" s="1397"/>
      <c r="CI30" s="1425">
        <f>'Проверочная  таблица'!JK32</f>
        <v>0</v>
      </c>
      <c r="CJ30" s="101">
        <f>'Проверочная  таблица'!IJ32+'Проверочная  таблица'!HR32</f>
        <v>26059.78</v>
      </c>
      <c r="CK30" s="1428">
        <f>'Проверочная  таблица'!HR32</f>
        <v>26059.78</v>
      </c>
      <c r="CL30" s="1397"/>
      <c r="CM30" s="1425">
        <f>'Проверочная  таблица'!JT32</f>
        <v>0</v>
      </c>
      <c r="CN30" s="101">
        <f>'Проверочная  таблица'!HK32+'Проверочная  таблица'!IC32</f>
        <v>0</v>
      </c>
      <c r="CO30" s="1397"/>
      <c r="CP30" s="1397"/>
      <c r="CQ30" s="1398"/>
      <c r="CR30" s="101">
        <f>'Проверочная  таблица'!IL32+'Проверочная  таблица'!HT32</f>
        <v>0</v>
      </c>
      <c r="CS30" s="1397"/>
      <c r="CT30" s="1397"/>
      <c r="CU30" s="1398"/>
      <c r="CV30" s="103">
        <f>'Проверочная  таблица'!HM32+'Проверочная  таблица'!IE32</f>
        <v>0</v>
      </c>
      <c r="CW30" s="1397"/>
      <c r="CX30" s="1397"/>
      <c r="CY30" s="1398"/>
      <c r="CZ30" s="101">
        <f>'Проверочная  таблица'!HV32+'Проверочная  таблица'!IN32</f>
        <v>0</v>
      </c>
      <c r="DA30" s="1397"/>
      <c r="DB30" s="1397"/>
      <c r="DC30" s="1398"/>
      <c r="DD30" s="103">
        <f>'Проверочная  таблица'!HG32+'Проверочная  таблица'!HY32</f>
        <v>0</v>
      </c>
      <c r="DE30" s="1397"/>
      <c r="DF30" s="1397"/>
      <c r="DG30" s="1398"/>
      <c r="DH30" s="101">
        <f>'Проверочная  таблица'!IH32+'Проверочная  таблица'!HP32</f>
        <v>0</v>
      </c>
      <c r="DI30" s="1397"/>
      <c r="DJ30" s="1397"/>
      <c r="DK30" s="1398"/>
      <c r="DL30" s="103">
        <f>'Проверочная  таблица'!KA32</f>
        <v>0</v>
      </c>
      <c r="DM30" s="1443">
        <f t="shared" ref="DM30:DM31" si="89">DL30</f>
        <v>0</v>
      </c>
      <c r="DN30" s="1397"/>
      <c r="DO30" s="1398"/>
      <c r="DP30" s="101">
        <f>'Проверочная  таблица'!KF32</f>
        <v>0</v>
      </c>
      <c r="DQ30" s="1443">
        <f t="shared" ref="DQ30:DQ31" si="90">DP30</f>
        <v>0</v>
      </c>
      <c r="DR30" s="1397"/>
      <c r="DS30" s="1398"/>
      <c r="DT30" s="101">
        <f>'Проверочная  таблица'!KC32</f>
        <v>0</v>
      </c>
      <c r="DU30" s="1397"/>
      <c r="DV30" s="1397"/>
      <c r="DW30" s="1398"/>
      <c r="DX30" s="101">
        <f>'Проверочная  таблица'!KH32</f>
        <v>0</v>
      </c>
      <c r="DY30" s="1397"/>
      <c r="DZ30" s="1397"/>
      <c r="EA30" s="1398"/>
      <c r="EB30" s="103">
        <f>'Проверочная  таблица'!KL32</f>
        <v>0</v>
      </c>
      <c r="EC30" s="1397"/>
      <c r="ED30" s="1397"/>
      <c r="EE30" s="1398"/>
      <c r="EF30" s="101">
        <f>'Проверочная  таблица'!KR32</f>
        <v>0</v>
      </c>
      <c r="EG30" s="1397"/>
      <c r="EH30" s="1397"/>
      <c r="EI30" s="1398"/>
      <c r="EJ30" s="103">
        <f>'Проверочная  таблица'!KN32</f>
        <v>0</v>
      </c>
      <c r="EK30" s="1397"/>
      <c r="EL30" s="1397"/>
      <c r="EM30" s="1398"/>
      <c r="EN30" s="101">
        <f>'Проверочная  таблица'!KT32</f>
        <v>0</v>
      </c>
      <c r="EO30" s="1397"/>
      <c r="EP30" s="1397"/>
      <c r="EQ30" s="1398"/>
      <c r="ER30" s="103">
        <f>'Проверочная  таблица'!KX32</f>
        <v>0</v>
      </c>
      <c r="ES30" s="1397"/>
      <c r="ET30" s="1397"/>
      <c r="EU30" s="1398"/>
      <c r="EV30" s="101">
        <f>'Проверочная  таблица'!LB32</f>
        <v>0</v>
      </c>
      <c r="EW30" s="1397"/>
      <c r="EX30" s="1397"/>
      <c r="EY30" s="1398"/>
      <c r="EZ30" s="103">
        <f>'Проверочная  таблица'!LI32+'Проверочная  таблица'!LW32</f>
        <v>23750000</v>
      </c>
      <c r="FA30" s="1428">
        <f>'Проверочная  таблица'!LI32</f>
        <v>23750000</v>
      </c>
      <c r="FB30" s="1397"/>
      <c r="FC30" s="1425">
        <f>'Проверочная  таблица'!LW32</f>
        <v>0</v>
      </c>
      <c r="FD30" s="101">
        <f>'Проверочная  таблица'!LP32+'Проверочная  таблица'!MB32</f>
        <v>3290019.26</v>
      </c>
      <c r="FE30" s="1428">
        <f>'Проверочная  таблица'!LP32</f>
        <v>3290019.26</v>
      </c>
      <c r="FF30" s="1397"/>
      <c r="FG30" s="1425">
        <f>'Проверочная  таблица'!MB32</f>
        <v>0</v>
      </c>
      <c r="FH30" s="104">
        <f>'Проверочная  таблица'!LK32+'Проверочная  таблица'!LY32</f>
        <v>30400000</v>
      </c>
      <c r="FI30" s="1428">
        <f>'Проверочная  таблица'!LK32</f>
        <v>30400000</v>
      </c>
      <c r="FJ30" s="1397"/>
      <c r="FK30" s="1425">
        <f>'Проверочная  таблица'!LY32</f>
        <v>0</v>
      </c>
      <c r="FL30" s="101">
        <f>'Проверочная  таблица'!LR32+'Проверочная  таблица'!MD32</f>
        <v>555864</v>
      </c>
      <c r="FM30" s="1428">
        <f>'Проверочная  таблица'!LR32</f>
        <v>555864</v>
      </c>
      <c r="FN30" s="1397"/>
      <c r="FO30" s="1425">
        <f>'Проверочная  таблица'!MD32</f>
        <v>0</v>
      </c>
      <c r="FP30" s="101">
        <f>'Проверочная  таблица'!LM32</f>
        <v>5200</v>
      </c>
      <c r="FQ30" s="1397"/>
      <c r="FR30" s="1397"/>
      <c r="FS30" s="1398"/>
      <c r="FT30" s="101">
        <f>'Проверочная  таблица'!LT32</f>
        <v>0</v>
      </c>
      <c r="FU30" s="1397"/>
      <c r="FV30" s="1397"/>
      <c r="FW30" s="1397"/>
      <c r="FX30" s="104">
        <f>'Проверочная  таблица'!NE32</f>
        <v>0</v>
      </c>
      <c r="FY30" s="1397"/>
      <c r="FZ30" s="1397"/>
      <c r="GA30" s="1398"/>
      <c r="GB30" s="101">
        <f>'Проверочная  таблица'!NH32</f>
        <v>0</v>
      </c>
      <c r="GC30" s="1397"/>
      <c r="GD30" s="1397"/>
      <c r="GE30" s="1398"/>
      <c r="GF30" s="103">
        <f>'Проверочная  таблица'!NW32</f>
        <v>0</v>
      </c>
      <c r="GG30" s="1397"/>
      <c r="GH30" s="1397"/>
      <c r="GI30" s="1398"/>
      <c r="GJ30" s="103">
        <f>'Проверочная  таблица'!NZ32</f>
        <v>0</v>
      </c>
      <c r="GK30" s="1397"/>
      <c r="GL30" s="1397"/>
      <c r="GM30" s="1398"/>
      <c r="GN30" s="101">
        <f>'Проверочная  таблица'!OW32+'Проверочная  таблица'!PM32</f>
        <v>0</v>
      </c>
      <c r="GO30" s="1397"/>
      <c r="GP30" s="1397"/>
      <c r="GQ30" s="1398"/>
      <c r="GR30" s="101">
        <f>'Проверочная  таблица'!PD32+'Проверочная  таблица'!PV32</f>
        <v>0</v>
      </c>
      <c r="GS30" s="1397"/>
      <c r="GT30" s="1397"/>
      <c r="GU30" s="1398"/>
      <c r="GV30" s="103">
        <f>'Проверочная  таблица'!PI32</f>
        <v>0</v>
      </c>
      <c r="GW30" s="1397"/>
      <c r="GX30" s="1397"/>
      <c r="GY30" s="1398"/>
      <c r="GZ30" s="101">
        <f>'Проверочная  таблица'!PR32</f>
        <v>0</v>
      </c>
      <c r="HA30" s="1397"/>
      <c r="HB30" s="1397"/>
      <c r="HC30" s="1398"/>
      <c r="HD30" s="103">
        <f>'Проверочная  таблица'!OU32+'Проверочная  таблица'!PK32</f>
        <v>0</v>
      </c>
      <c r="HE30" s="1397"/>
      <c r="HF30" s="1397"/>
      <c r="HG30" s="1398"/>
      <c r="HH30" s="101">
        <f>'Проверочная  таблица'!PB32+'Проверочная  таблица'!PT32</f>
        <v>0</v>
      </c>
      <c r="HI30" s="1397"/>
      <c r="HJ30" s="1397"/>
      <c r="HK30" s="1398"/>
      <c r="HL30" s="101">
        <f>'Проверочная  таблица'!OY32+'Проверочная  таблица'!PO32</f>
        <v>0</v>
      </c>
      <c r="HM30" s="1397">
        <f t="shared" ref="HM30:HM31" si="91">HL30</f>
        <v>0</v>
      </c>
      <c r="HN30" s="1397"/>
      <c r="HO30" s="1398"/>
      <c r="HP30" s="101">
        <f>'Проверочная  таблица'!PF32+'Проверочная  таблица'!PX32</f>
        <v>0</v>
      </c>
      <c r="HQ30" s="1397">
        <f t="shared" ref="HQ30:HQ31" si="92">HP30</f>
        <v>0</v>
      </c>
      <c r="HR30" s="1397"/>
      <c r="HS30" s="1397"/>
    </row>
    <row r="31" spans="1:227" ht="25.5" customHeight="1" thickBot="1" x14ac:dyDescent="0.35">
      <c r="A31" s="105" t="s">
        <v>6</v>
      </c>
      <c r="B31" s="1445">
        <f t="shared" si="13"/>
        <v>0</v>
      </c>
      <c r="C31" s="1445">
        <f t="shared" si="14"/>
        <v>0</v>
      </c>
      <c r="D31" s="269">
        <f t="shared" si="72"/>
        <v>1097860882.8299999</v>
      </c>
      <c r="E31" s="1420">
        <f t="shared" si="73"/>
        <v>1097860882.8299999</v>
      </c>
      <c r="F31" s="1420">
        <f t="shared" si="74"/>
        <v>0</v>
      </c>
      <c r="G31" s="1420">
        <f t="shared" si="75"/>
        <v>0</v>
      </c>
      <c r="H31" s="269">
        <f>AF31+AN31+CJ31+CR31+CB31+GJ31+FD31+FL31+P31+DP31+HH31+EN31+EV31+GB31+GZ31+HP31+GR31+BT31+CZ31+AV31+DH31+X31+BD31+BL31+DX31+EF31+FT31</f>
        <v>238431995.93000001</v>
      </c>
      <c r="I31" s="1420">
        <f t="shared" si="76"/>
        <v>238431995.93000001</v>
      </c>
      <c r="J31" s="1420">
        <f t="shared" si="77"/>
        <v>0</v>
      </c>
      <c r="K31" s="1420">
        <f t="shared" si="78"/>
        <v>0</v>
      </c>
      <c r="L31" s="104">
        <f>'Проверочная  таблица'!DE33+'Проверочная  таблица'!DG33</f>
        <v>247463542.81</v>
      </c>
      <c r="M31" s="1428">
        <f>'Проверочная  таблица'!DE33</f>
        <v>247463542.81</v>
      </c>
      <c r="N31" s="1397"/>
      <c r="O31" s="1425">
        <f>'Проверочная  таблица'!DG33</f>
        <v>0</v>
      </c>
      <c r="P31" s="101">
        <f>'Проверочная  таблица'!DF33+'Проверочная  таблица'!DH33</f>
        <v>74239062.840000004</v>
      </c>
      <c r="Q31" s="1428">
        <f>'Проверочная  таблица'!DF33</f>
        <v>74239062.840000004</v>
      </c>
      <c r="R31" s="1397"/>
      <c r="S31" s="1425">
        <f>'Проверочная  таблица'!DH33</f>
        <v>0</v>
      </c>
      <c r="T31" s="103">
        <f>'Проверочная  таблица'!DX33</f>
        <v>719971.8</v>
      </c>
      <c r="U31" s="1397">
        <f t="shared" si="79"/>
        <v>719971.8</v>
      </c>
      <c r="V31" s="1397"/>
      <c r="W31" s="1398"/>
      <c r="X31" s="101">
        <f>'Проверочная  таблица'!EF33</f>
        <v>0</v>
      </c>
      <c r="Y31" s="1397">
        <f t="shared" si="80"/>
        <v>0</v>
      </c>
      <c r="Z31" s="1397"/>
      <c r="AA31" s="1397"/>
      <c r="AB31" s="104">
        <f>'Проверочная  таблица'!DZ33</f>
        <v>0</v>
      </c>
      <c r="AC31" s="1397">
        <f t="shared" si="81"/>
        <v>0</v>
      </c>
      <c r="AD31" s="1397"/>
      <c r="AE31" s="1398"/>
      <c r="AF31" s="101">
        <f>'Проверочная  таблица'!EH33</f>
        <v>0</v>
      </c>
      <c r="AG31" s="1397">
        <f t="shared" si="82"/>
        <v>0</v>
      </c>
      <c r="AH31" s="1397"/>
      <c r="AI31" s="1398"/>
      <c r="AJ31" s="101">
        <f>'Проверочная  таблица'!EU33</f>
        <v>0</v>
      </c>
      <c r="AK31" s="1397">
        <f t="shared" si="83"/>
        <v>0</v>
      </c>
      <c r="AL31" s="1397"/>
      <c r="AM31" s="1398"/>
      <c r="AN31" s="103">
        <f>'Проверочная  таблица'!EX33</f>
        <v>0</v>
      </c>
      <c r="AO31" s="1397">
        <f t="shared" si="84"/>
        <v>0</v>
      </c>
      <c r="AP31" s="1397"/>
      <c r="AQ31" s="1398"/>
      <c r="AR31" s="103">
        <f>'Проверочная  таблица'!FG33</f>
        <v>0</v>
      </c>
      <c r="AS31" s="1397">
        <f t="shared" si="85"/>
        <v>0</v>
      </c>
      <c r="AT31" s="1397"/>
      <c r="AU31" s="1398"/>
      <c r="AV31" s="101">
        <f>'Проверочная  таблица'!FL33</f>
        <v>0</v>
      </c>
      <c r="AW31" s="1397">
        <f t="shared" si="86"/>
        <v>0</v>
      </c>
      <c r="AX31" s="1397"/>
      <c r="AY31" s="1398"/>
      <c r="AZ31" s="101">
        <f>'Проверочная  таблица'!FI33</f>
        <v>40000000</v>
      </c>
      <c r="BA31" s="1397">
        <f>AZ31</f>
        <v>40000000</v>
      </c>
      <c r="BB31" s="1397"/>
      <c r="BC31" s="1398"/>
      <c r="BD31" s="101">
        <f>'Проверочная  таблица'!FN33</f>
        <v>14000000</v>
      </c>
      <c r="BE31" s="1397">
        <f>BD31</f>
        <v>14000000</v>
      </c>
      <c r="BF31" s="1397"/>
      <c r="BG31" s="1398"/>
      <c r="BH31" s="103">
        <f>'Проверочная  таблица'!FQ33</f>
        <v>251648074.00999999</v>
      </c>
      <c r="BI31" s="1397">
        <f t="shared" si="87"/>
        <v>251648074.00999999</v>
      </c>
      <c r="BJ31" s="1397"/>
      <c r="BK31" s="1398"/>
      <c r="BL31" s="101">
        <f>'Проверочная  таблица'!FT33</f>
        <v>2110659.88</v>
      </c>
      <c r="BM31" s="1397">
        <f t="shared" si="88"/>
        <v>2110659.88</v>
      </c>
      <c r="BN31" s="1397"/>
      <c r="BO31" s="1398"/>
      <c r="BP31" s="107">
        <f>'Проверочная  таблица'!FW33</f>
        <v>0</v>
      </c>
      <c r="BQ31" s="1397"/>
      <c r="BR31" s="1397"/>
      <c r="BS31" s="1398"/>
      <c r="BT31" s="107">
        <f>'Проверочная  таблица'!FZ33</f>
        <v>0</v>
      </c>
      <c r="BU31" s="1397"/>
      <c r="BV31" s="1397"/>
      <c r="BW31" s="1397"/>
      <c r="BX31" s="104">
        <f>'Проверочная  таблица'!GC33+'Проверочная  таблица'!GI33</f>
        <v>0</v>
      </c>
      <c r="BY31" s="1397"/>
      <c r="BZ31" s="1397"/>
      <c r="CA31" s="1398"/>
      <c r="CB31" s="101">
        <f>'Проверочная  таблица'!GF33+'Проверочная  таблица'!GL33</f>
        <v>0</v>
      </c>
      <c r="CC31" s="1397"/>
      <c r="CD31" s="1397"/>
      <c r="CE31" s="1398"/>
      <c r="CF31" s="662">
        <f>'Проверочная  таблица'!HI33+'Проверочная  таблица'!IA33</f>
        <v>124094.21</v>
      </c>
      <c r="CG31" s="1429">
        <f>'Проверочная  таблица'!HI33</f>
        <v>124094.21</v>
      </c>
      <c r="CH31" s="1399"/>
      <c r="CI31" s="1426">
        <f>'Проверочная  таблица'!JK33</f>
        <v>0</v>
      </c>
      <c r="CJ31" s="269">
        <f>'Проверочная  таблица'!IJ33+'Проверочная  таблица'!HR33</f>
        <v>124094.21</v>
      </c>
      <c r="CK31" s="1428">
        <f>'Проверочная  таблица'!HR33</f>
        <v>124094.21</v>
      </c>
      <c r="CL31" s="1397"/>
      <c r="CM31" s="1425">
        <f>'Проверочная  таблица'!JT33</f>
        <v>0</v>
      </c>
      <c r="CN31" s="269">
        <f>'Проверочная  таблица'!HK33+'Проверочная  таблица'!IC33</f>
        <v>0</v>
      </c>
      <c r="CO31" s="1397"/>
      <c r="CP31" s="1397"/>
      <c r="CQ31" s="1398"/>
      <c r="CR31" s="269">
        <f>'Проверочная  таблица'!IL33+'Проверочная  таблица'!HT33</f>
        <v>0</v>
      </c>
      <c r="CS31" s="1397"/>
      <c r="CT31" s="1397"/>
      <c r="CU31" s="1398"/>
      <c r="CV31" s="103">
        <f>'Проверочная  таблица'!HM33+'Проверочная  таблица'!IE33</f>
        <v>0</v>
      </c>
      <c r="CW31" s="1397"/>
      <c r="CX31" s="1397"/>
      <c r="CY31" s="1398"/>
      <c r="CZ31" s="101">
        <f>'Проверочная  таблица'!HV33+'Проверочная  таблица'!IN33</f>
        <v>0</v>
      </c>
      <c r="DA31" s="1397"/>
      <c r="DB31" s="1397"/>
      <c r="DC31" s="1398"/>
      <c r="DD31" s="103">
        <f>'Проверочная  таблица'!HG33+'Проверочная  таблица'!HY33</f>
        <v>0</v>
      </c>
      <c r="DE31" s="1397"/>
      <c r="DF31" s="1397"/>
      <c r="DG31" s="1398"/>
      <c r="DH31" s="101">
        <f>'Проверочная  таблица'!IH33+'Проверочная  таблица'!HP33</f>
        <v>0</v>
      </c>
      <c r="DI31" s="1397"/>
      <c r="DJ31" s="1397"/>
      <c r="DK31" s="1398"/>
      <c r="DL31" s="103">
        <f>'Проверочная  таблица'!KA33</f>
        <v>126551900</v>
      </c>
      <c r="DM31" s="1443">
        <f t="shared" si="89"/>
        <v>126551900</v>
      </c>
      <c r="DN31" s="1397"/>
      <c r="DO31" s="1398"/>
      <c r="DP31" s="101">
        <f>'Проверочная  таблица'!KF33</f>
        <v>49324789.339999996</v>
      </c>
      <c r="DQ31" s="1443">
        <f t="shared" si="90"/>
        <v>49324789.339999996</v>
      </c>
      <c r="DR31" s="1397"/>
      <c r="DS31" s="1398"/>
      <c r="DT31" s="101">
        <f>'Проверочная  таблица'!KC33</f>
        <v>41890500</v>
      </c>
      <c r="DU31" s="1397">
        <f>DT31</f>
        <v>41890500</v>
      </c>
      <c r="DV31" s="1397"/>
      <c r="DW31" s="1398"/>
      <c r="DX31" s="101">
        <f>'Проверочная  таблица'!KH33</f>
        <v>6847889.1200000001</v>
      </c>
      <c r="DY31" s="1397">
        <f>DX31</f>
        <v>6847889.1200000001</v>
      </c>
      <c r="DZ31" s="1397"/>
      <c r="EA31" s="1398"/>
      <c r="EB31" s="103">
        <f>'Проверочная  таблица'!KL33</f>
        <v>60260100</v>
      </c>
      <c r="EC31" s="1397">
        <f>EB31</f>
        <v>60260100</v>
      </c>
      <c r="ED31" s="1397"/>
      <c r="EE31" s="1398"/>
      <c r="EF31" s="101">
        <f>'Проверочная  таблица'!KR33</f>
        <v>27931487.989999998</v>
      </c>
      <c r="EG31" s="1397">
        <f>EF31</f>
        <v>27931487.989999998</v>
      </c>
      <c r="EH31" s="1397"/>
      <c r="EI31" s="1398"/>
      <c r="EJ31" s="103">
        <f>'Проверочная  таблица'!KN33</f>
        <v>91702700</v>
      </c>
      <c r="EK31" s="1397">
        <f>EJ31</f>
        <v>91702700</v>
      </c>
      <c r="EL31" s="1397"/>
      <c r="EM31" s="1398"/>
      <c r="EN31" s="101">
        <f>'Проверочная  таблица'!KT33</f>
        <v>0</v>
      </c>
      <c r="EO31" s="1397">
        <f>EN31</f>
        <v>0</v>
      </c>
      <c r="EP31" s="1397"/>
      <c r="EQ31" s="1398"/>
      <c r="ER31" s="103">
        <f>'Проверочная  таблица'!KX33</f>
        <v>0</v>
      </c>
      <c r="ES31" s="1397"/>
      <c r="ET31" s="1397"/>
      <c r="EU31" s="1398"/>
      <c r="EV31" s="101">
        <f>'Проверочная  таблица'!LB33</f>
        <v>0</v>
      </c>
      <c r="EW31" s="1397"/>
      <c r="EX31" s="1397"/>
      <c r="EY31" s="1398"/>
      <c r="EZ31" s="103">
        <f>'Проверочная  таблица'!LI33+'Проверочная  таблица'!LW33</f>
        <v>47500000</v>
      </c>
      <c r="FA31" s="1428">
        <f>'Проверочная  таблица'!LI33</f>
        <v>47500000</v>
      </c>
      <c r="FB31" s="1397"/>
      <c r="FC31" s="1425">
        <f>'Проверочная  таблица'!LW33</f>
        <v>0</v>
      </c>
      <c r="FD31" s="101">
        <f>'Проверочная  таблица'!LP33+'Проверочная  таблица'!MB33</f>
        <v>8171645.8299999991</v>
      </c>
      <c r="FE31" s="1428">
        <f>'Проверочная  таблица'!LP33</f>
        <v>8171645.8299999991</v>
      </c>
      <c r="FF31" s="1397"/>
      <c r="FG31" s="1425">
        <f>'Проверочная  таблица'!MB33</f>
        <v>0</v>
      </c>
      <c r="FH31" s="104">
        <f>'Проверочная  таблица'!LK33+'Проверочная  таблица'!LY33</f>
        <v>190000000</v>
      </c>
      <c r="FI31" s="1428">
        <f>'Проверочная  таблица'!LK33</f>
        <v>190000000</v>
      </c>
      <c r="FJ31" s="1397"/>
      <c r="FK31" s="1425">
        <f>'Проверочная  таблица'!LY33</f>
        <v>0</v>
      </c>
      <c r="FL31" s="101">
        <f>'Проверочная  таблица'!LR33+'Проверочная  таблица'!MD33</f>
        <v>55682366.719999999</v>
      </c>
      <c r="FM31" s="1428">
        <f>'Проверочная  таблица'!LR33</f>
        <v>55682366.719999999</v>
      </c>
      <c r="FN31" s="1397"/>
      <c r="FO31" s="1425">
        <f>'Проверочная  таблица'!MD33</f>
        <v>0</v>
      </c>
      <c r="FP31" s="101">
        <f>'Проверочная  таблица'!LM33</f>
        <v>0</v>
      </c>
      <c r="FQ31" s="1397"/>
      <c r="FR31" s="1397"/>
      <c r="FS31" s="1398"/>
      <c r="FT31" s="101">
        <f>'Проверочная  таблица'!LT33</f>
        <v>0</v>
      </c>
      <c r="FU31" s="1397"/>
      <c r="FV31" s="1397"/>
      <c r="FW31" s="1397"/>
      <c r="FX31" s="104">
        <f>'Проверочная  таблица'!NE33</f>
        <v>0</v>
      </c>
      <c r="FY31" s="1397"/>
      <c r="FZ31" s="1397"/>
      <c r="GA31" s="1398"/>
      <c r="GB31" s="101">
        <f>'Проверочная  таблица'!NH33</f>
        <v>0</v>
      </c>
      <c r="GC31" s="1397"/>
      <c r="GD31" s="1397"/>
      <c r="GE31" s="1398"/>
      <c r="GF31" s="103">
        <f>'Проверочная  таблица'!NW33</f>
        <v>0</v>
      </c>
      <c r="GG31" s="1397"/>
      <c r="GH31" s="1397"/>
      <c r="GI31" s="1398"/>
      <c r="GJ31" s="103">
        <f>'Проверочная  таблица'!NZ33</f>
        <v>0</v>
      </c>
      <c r="GK31" s="1397"/>
      <c r="GL31" s="1397"/>
      <c r="GM31" s="1398"/>
      <c r="GN31" s="101">
        <f>'Проверочная  таблица'!OW33+'Проверочная  таблица'!PM33</f>
        <v>0</v>
      </c>
      <c r="GO31" s="1397"/>
      <c r="GP31" s="1397"/>
      <c r="GQ31" s="1398"/>
      <c r="GR31" s="101">
        <f>'Проверочная  таблица'!PD33+'Проверочная  таблица'!PV33</f>
        <v>0</v>
      </c>
      <c r="GS31" s="1397"/>
      <c r="GT31" s="1397"/>
      <c r="GU31" s="1398"/>
      <c r="GV31" s="103">
        <f>'Проверочная  таблица'!PI33</f>
        <v>0</v>
      </c>
      <c r="GW31" s="1397"/>
      <c r="GX31" s="1397"/>
      <c r="GY31" s="1398"/>
      <c r="GZ31" s="101">
        <f>'Проверочная  таблица'!PR33</f>
        <v>0</v>
      </c>
      <c r="HA31" s="1397"/>
      <c r="HB31" s="1397"/>
      <c r="HC31" s="1398"/>
      <c r="HD31" s="103">
        <f>'Проверочная  таблица'!OU33+'Проверочная  таблица'!PK33</f>
        <v>0</v>
      </c>
      <c r="HE31" s="1397"/>
      <c r="HF31" s="1397"/>
      <c r="HG31" s="1398"/>
      <c r="HH31" s="101">
        <f>'Проверочная  таблица'!PB33+'Проверочная  таблица'!PT33</f>
        <v>0</v>
      </c>
      <c r="HI31" s="1397"/>
      <c r="HJ31" s="1397"/>
      <c r="HK31" s="1398"/>
      <c r="HL31" s="101">
        <f>'Проверочная  таблица'!OY33+'Проверочная  таблица'!PO33</f>
        <v>0</v>
      </c>
      <c r="HM31" s="1397">
        <f t="shared" si="91"/>
        <v>0</v>
      </c>
      <c r="HN31" s="1397"/>
      <c r="HO31" s="1398"/>
      <c r="HP31" s="101">
        <f>'Проверочная  таблица'!PF33+'Проверочная  таблица'!PX33</f>
        <v>0</v>
      </c>
      <c r="HQ31" s="1397">
        <f t="shared" si="92"/>
        <v>0</v>
      </c>
      <c r="HR31" s="1397"/>
      <c r="HS31" s="1397"/>
    </row>
    <row r="32" spans="1:227" ht="25.5" customHeight="1" thickBot="1" x14ac:dyDescent="0.35">
      <c r="A32" s="153" t="s">
        <v>7</v>
      </c>
      <c r="B32" s="1445">
        <f t="shared" si="13"/>
        <v>5200</v>
      </c>
      <c r="C32" s="1445">
        <f t="shared" si="14"/>
        <v>0</v>
      </c>
      <c r="D32" s="114">
        <f t="shared" ref="D32:K32" si="93">SUM(D30:D31)</f>
        <v>1172716544.73</v>
      </c>
      <c r="E32" s="1419">
        <f t="shared" ref="E32:G32" si="94">SUM(E30:E31)</f>
        <v>1172711344.73</v>
      </c>
      <c r="F32" s="1419">
        <f t="shared" si="94"/>
        <v>0</v>
      </c>
      <c r="G32" s="1419">
        <f t="shared" si="94"/>
        <v>0</v>
      </c>
      <c r="H32" s="114">
        <f t="shared" si="93"/>
        <v>250213393.66</v>
      </c>
      <c r="I32" s="1419">
        <f t="shared" si="93"/>
        <v>250213393.66</v>
      </c>
      <c r="J32" s="1419">
        <f t="shared" si="93"/>
        <v>0</v>
      </c>
      <c r="K32" s="1419">
        <f t="shared" si="93"/>
        <v>0</v>
      </c>
      <c r="L32" s="124">
        <f t="shared" ref="L32:HH32" si="95">SUM(L30:L31)</f>
        <v>261037664.93000001</v>
      </c>
      <c r="M32" s="1413">
        <f t="shared" ref="M32:O32" si="96">SUM(M30:M31)</f>
        <v>261037664.93000001</v>
      </c>
      <c r="N32" s="1404">
        <f t="shared" si="96"/>
        <v>0</v>
      </c>
      <c r="O32" s="1436">
        <f t="shared" si="96"/>
        <v>0</v>
      </c>
      <c r="P32" s="117">
        <f t="shared" si="95"/>
        <v>78311299.480000004</v>
      </c>
      <c r="Q32" s="1404">
        <f t="shared" si="95"/>
        <v>78311299.480000004</v>
      </c>
      <c r="R32" s="1405">
        <f t="shared" si="95"/>
        <v>0</v>
      </c>
      <c r="S32" s="1404">
        <f t="shared" si="95"/>
        <v>0</v>
      </c>
      <c r="T32" s="116">
        <f t="shared" si="95"/>
        <v>719971.8</v>
      </c>
      <c r="U32" s="1404">
        <f t="shared" ref="U32" si="97">SUM(U30:U31)</f>
        <v>719971.8</v>
      </c>
      <c r="V32" s="1405">
        <f t="shared" si="95"/>
        <v>0</v>
      </c>
      <c r="W32" s="1404">
        <f t="shared" si="95"/>
        <v>0</v>
      </c>
      <c r="X32" s="114">
        <f t="shared" si="95"/>
        <v>0</v>
      </c>
      <c r="Y32" s="1404">
        <f t="shared" ref="Y32" si="98">SUM(Y30:Y31)</f>
        <v>0</v>
      </c>
      <c r="Z32" s="1405">
        <f t="shared" si="95"/>
        <v>0</v>
      </c>
      <c r="AA32" s="1404">
        <f t="shared" si="95"/>
        <v>0</v>
      </c>
      <c r="AB32" s="118">
        <f t="shared" si="95"/>
        <v>0</v>
      </c>
      <c r="AC32" s="1404">
        <f t="shared" si="95"/>
        <v>0</v>
      </c>
      <c r="AD32" s="1405">
        <f t="shared" si="95"/>
        <v>0</v>
      </c>
      <c r="AE32" s="1404">
        <f t="shared" si="95"/>
        <v>0</v>
      </c>
      <c r="AF32" s="117">
        <f t="shared" si="95"/>
        <v>0</v>
      </c>
      <c r="AG32" s="1404">
        <f t="shared" si="95"/>
        <v>0</v>
      </c>
      <c r="AH32" s="1405">
        <f t="shared" si="95"/>
        <v>0</v>
      </c>
      <c r="AI32" s="1413">
        <f t="shared" si="95"/>
        <v>0</v>
      </c>
      <c r="AJ32" s="114">
        <f>SUM(AJ30:AJ31)</f>
        <v>0</v>
      </c>
      <c r="AK32" s="1404">
        <f t="shared" ref="AK32" si="99">SUM(AK30:AK31)</f>
        <v>0</v>
      </c>
      <c r="AL32" s="1405">
        <f t="shared" ref="AL32:AM32" si="100">SUM(AL30:AL31)</f>
        <v>0</v>
      </c>
      <c r="AM32" s="1404">
        <f t="shared" si="100"/>
        <v>0</v>
      </c>
      <c r="AN32" s="817">
        <f>SUM(AN30:AN31)</f>
        <v>0</v>
      </c>
      <c r="AO32" s="1404">
        <f t="shared" ref="AO32" si="101">SUM(AO30:AO31)</f>
        <v>0</v>
      </c>
      <c r="AP32" s="1405">
        <f t="shared" ref="AP32:AQ32" si="102">SUM(AP30:AP31)</f>
        <v>0</v>
      </c>
      <c r="AQ32" s="1404">
        <f t="shared" si="102"/>
        <v>0</v>
      </c>
      <c r="AR32" s="116">
        <f t="shared" ref="AR32:BO32" si="103">SUM(AR30:AR31)</f>
        <v>2721180</v>
      </c>
      <c r="AS32" s="1404">
        <f t="shared" si="103"/>
        <v>2721180</v>
      </c>
      <c r="AT32" s="1405">
        <f t="shared" si="103"/>
        <v>0</v>
      </c>
      <c r="AU32" s="1404">
        <f t="shared" si="103"/>
        <v>0</v>
      </c>
      <c r="AV32" s="114">
        <f t="shared" si="103"/>
        <v>0</v>
      </c>
      <c r="AW32" s="1404">
        <f t="shared" ref="AW32" si="104">SUM(AW30:AW31)</f>
        <v>0</v>
      </c>
      <c r="AX32" s="1405">
        <f t="shared" si="103"/>
        <v>0</v>
      </c>
      <c r="AY32" s="1413">
        <f t="shared" si="103"/>
        <v>0</v>
      </c>
      <c r="AZ32" s="114">
        <f t="shared" si="103"/>
        <v>40000000</v>
      </c>
      <c r="BA32" s="1404">
        <f t="shared" si="103"/>
        <v>40000000</v>
      </c>
      <c r="BB32" s="1405">
        <f t="shared" si="103"/>
        <v>0</v>
      </c>
      <c r="BC32" s="1404">
        <f t="shared" si="103"/>
        <v>0</v>
      </c>
      <c r="BD32" s="114">
        <f t="shared" si="103"/>
        <v>14000000</v>
      </c>
      <c r="BE32" s="1404">
        <f t="shared" si="103"/>
        <v>14000000</v>
      </c>
      <c r="BF32" s="1405">
        <f t="shared" si="103"/>
        <v>0</v>
      </c>
      <c r="BG32" s="1404">
        <f t="shared" si="103"/>
        <v>0</v>
      </c>
      <c r="BH32" s="116">
        <f t="shared" si="103"/>
        <v>251648074.00999999</v>
      </c>
      <c r="BI32" s="1404">
        <f t="shared" si="103"/>
        <v>251648074.00999999</v>
      </c>
      <c r="BJ32" s="1405">
        <f t="shared" si="103"/>
        <v>0</v>
      </c>
      <c r="BK32" s="1404">
        <f t="shared" si="103"/>
        <v>0</v>
      </c>
      <c r="BL32" s="117">
        <f t="shared" si="103"/>
        <v>2110659.88</v>
      </c>
      <c r="BM32" s="1404">
        <f t="shared" ref="BM32" si="105">SUM(BM30:BM31)</f>
        <v>2110659.88</v>
      </c>
      <c r="BN32" s="1405">
        <f t="shared" si="103"/>
        <v>0</v>
      </c>
      <c r="BO32" s="1413">
        <f t="shared" si="103"/>
        <v>0</v>
      </c>
      <c r="BP32" s="114">
        <f t="shared" si="95"/>
        <v>4379100</v>
      </c>
      <c r="BQ32" s="1404">
        <f t="shared" si="95"/>
        <v>4379100</v>
      </c>
      <c r="BR32" s="1405">
        <f t="shared" si="95"/>
        <v>0</v>
      </c>
      <c r="BS32" s="1404">
        <f t="shared" si="95"/>
        <v>0</v>
      </c>
      <c r="BT32" s="114">
        <f t="shared" si="95"/>
        <v>3837218.05</v>
      </c>
      <c r="BU32" s="1404">
        <f t="shared" si="95"/>
        <v>3837218.05</v>
      </c>
      <c r="BV32" s="1405">
        <f t="shared" si="95"/>
        <v>0</v>
      </c>
      <c r="BW32" s="1419">
        <f t="shared" si="95"/>
        <v>0</v>
      </c>
      <c r="BX32" s="118">
        <f t="shared" si="95"/>
        <v>0</v>
      </c>
      <c r="BY32" s="1404">
        <f t="shared" si="95"/>
        <v>0</v>
      </c>
      <c r="BZ32" s="1405">
        <f t="shared" si="95"/>
        <v>0</v>
      </c>
      <c r="CA32" s="1404">
        <f t="shared" si="95"/>
        <v>0</v>
      </c>
      <c r="CB32" s="114">
        <f t="shared" si="95"/>
        <v>0</v>
      </c>
      <c r="CC32" s="1404">
        <f t="shared" si="95"/>
        <v>0</v>
      </c>
      <c r="CD32" s="1405">
        <f t="shared" si="95"/>
        <v>0</v>
      </c>
      <c r="CE32" s="1404">
        <f t="shared" si="95"/>
        <v>0</v>
      </c>
      <c r="CF32" s="116">
        <f t="shared" si="95"/>
        <v>150153.99</v>
      </c>
      <c r="CG32" s="1404">
        <f t="shared" si="95"/>
        <v>150153.99</v>
      </c>
      <c r="CH32" s="1405">
        <f t="shared" si="95"/>
        <v>0</v>
      </c>
      <c r="CI32" s="1404">
        <f t="shared" si="95"/>
        <v>0</v>
      </c>
      <c r="CJ32" s="117">
        <f t="shared" si="95"/>
        <v>150153.99</v>
      </c>
      <c r="CK32" s="1404">
        <f t="shared" si="95"/>
        <v>150153.99</v>
      </c>
      <c r="CL32" s="1405">
        <f t="shared" si="95"/>
        <v>0</v>
      </c>
      <c r="CM32" s="1413">
        <f t="shared" si="95"/>
        <v>0</v>
      </c>
      <c r="CN32" s="114">
        <f t="shared" si="95"/>
        <v>0</v>
      </c>
      <c r="CO32" s="1404">
        <f t="shared" si="95"/>
        <v>0</v>
      </c>
      <c r="CP32" s="1405">
        <f t="shared" si="95"/>
        <v>0</v>
      </c>
      <c r="CQ32" s="1404">
        <f t="shared" si="95"/>
        <v>0</v>
      </c>
      <c r="CR32" s="117">
        <f t="shared" si="95"/>
        <v>0</v>
      </c>
      <c r="CS32" s="1404">
        <f t="shared" si="95"/>
        <v>0</v>
      </c>
      <c r="CT32" s="1405">
        <f t="shared" si="95"/>
        <v>0</v>
      </c>
      <c r="CU32" s="1404">
        <f t="shared" si="95"/>
        <v>0</v>
      </c>
      <c r="CV32" s="116">
        <f t="shared" si="95"/>
        <v>0</v>
      </c>
      <c r="CW32" s="1404">
        <f t="shared" si="95"/>
        <v>0</v>
      </c>
      <c r="CX32" s="1405">
        <f t="shared" si="95"/>
        <v>0</v>
      </c>
      <c r="CY32" s="1404">
        <f t="shared" si="95"/>
        <v>0</v>
      </c>
      <c r="CZ32" s="114">
        <f t="shared" si="95"/>
        <v>0</v>
      </c>
      <c r="DA32" s="1404">
        <f t="shared" si="95"/>
        <v>0</v>
      </c>
      <c r="DB32" s="1405">
        <f t="shared" si="95"/>
        <v>0</v>
      </c>
      <c r="DC32" s="1404">
        <f t="shared" si="95"/>
        <v>0</v>
      </c>
      <c r="DD32" s="116">
        <f t="shared" si="95"/>
        <v>0</v>
      </c>
      <c r="DE32" s="1404">
        <f t="shared" si="95"/>
        <v>0</v>
      </c>
      <c r="DF32" s="1405">
        <f t="shared" si="95"/>
        <v>0</v>
      </c>
      <c r="DG32" s="1404">
        <f t="shared" si="95"/>
        <v>0</v>
      </c>
      <c r="DH32" s="114">
        <f t="shared" si="95"/>
        <v>0</v>
      </c>
      <c r="DI32" s="1404">
        <f t="shared" si="95"/>
        <v>0</v>
      </c>
      <c r="DJ32" s="1405">
        <f t="shared" si="95"/>
        <v>0</v>
      </c>
      <c r="DK32" s="1404">
        <f t="shared" si="95"/>
        <v>0</v>
      </c>
      <c r="DL32" s="116">
        <f t="shared" si="95"/>
        <v>126551900</v>
      </c>
      <c r="DM32" s="1404">
        <f t="shared" si="95"/>
        <v>126551900</v>
      </c>
      <c r="DN32" s="1405">
        <f t="shared" si="95"/>
        <v>0</v>
      </c>
      <c r="DO32" s="1404">
        <f t="shared" si="95"/>
        <v>0</v>
      </c>
      <c r="DP32" s="117">
        <f t="shared" si="95"/>
        <v>49324789.339999996</v>
      </c>
      <c r="DQ32" s="1404">
        <f t="shared" ref="DQ32" si="106">SUM(DQ30:DQ31)</f>
        <v>49324789.339999996</v>
      </c>
      <c r="DR32" s="1405">
        <f t="shared" si="95"/>
        <v>0</v>
      </c>
      <c r="DS32" s="1413">
        <f t="shared" si="95"/>
        <v>0</v>
      </c>
      <c r="DT32" s="114">
        <f t="shared" si="95"/>
        <v>41890500</v>
      </c>
      <c r="DU32" s="1404">
        <f t="shared" si="95"/>
        <v>41890500</v>
      </c>
      <c r="DV32" s="1405">
        <f t="shared" si="95"/>
        <v>0</v>
      </c>
      <c r="DW32" s="1404">
        <f t="shared" si="95"/>
        <v>0</v>
      </c>
      <c r="DX32" s="117">
        <f t="shared" si="95"/>
        <v>6847889.1200000001</v>
      </c>
      <c r="DY32" s="1404">
        <f t="shared" si="95"/>
        <v>6847889.1200000001</v>
      </c>
      <c r="DZ32" s="1405">
        <f t="shared" si="95"/>
        <v>0</v>
      </c>
      <c r="EA32" s="1404">
        <f t="shared" si="95"/>
        <v>0</v>
      </c>
      <c r="EB32" s="116">
        <f>SUM(EB30:EB31)</f>
        <v>60260100</v>
      </c>
      <c r="EC32" s="1404">
        <f t="shared" ref="EC32:EE32" si="107">SUM(EC30:EC31)</f>
        <v>60260100</v>
      </c>
      <c r="ED32" s="1405">
        <f t="shared" si="107"/>
        <v>0</v>
      </c>
      <c r="EE32" s="1404">
        <f t="shared" si="107"/>
        <v>0</v>
      </c>
      <c r="EF32" s="114">
        <f>SUM(EF30:EF31)</f>
        <v>27931487.989999998</v>
      </c>
      <c r="EG32" s="1404">
        <f t="shared" ref="EG32:EI32" si="108">SUM(EG30:EG31)</f>
        <v>27931487.989999998</v>
      </c>
      <c r="EH32" s="1405">
        <f t="shared" si="108"/>
        <v>0</v>
      </c>
      <c r="EI32" s="1404">
        <f t="shared" si="108"/>
        <v>0</v>
      </c>
      <c r="EJ32" s="116">
        <f>SUM(EJ30:EJ31)</f>
        <v>91702700</v>
      </c>
      <c r="EK32" s="1404">
        <f t="shared" ref="EK32:EM32" si="109">SUM(EK30:EK31)</f>
        <v>91702700</v>
      </c>
      <c r="EL32" s="1405">
        <f t="shared" si="109"/>
        <v>0</v>
      </c>
      <c r="EM32" s="1404">
        <f t="shared" si="109"/>
        <v>0</v>
      </c>
      <c r="EN32" s="114">
        <f>SUM(EN30:EN31)</f>
        <v>0</v>
      </c>
      <c r="EO32" s="1404">
        <f t="shared" ref="EO32:EQ32" si="110">SUM(EO30:EO31)</f>
        <v>0</v>
      </c>
      <c r="EP32" s="1405">
        <f t="shared" si="110"/>
        <v>0</v>
      </c>
      <c r="EQ32" s="1404">
        <f t="shared" si="110"/>
        <v>0</v>
      </c>
      <c r="ER32" s="116">
        <f t="shared" si="95"/>
        <v>0</v>
      </c>
      <c r="ES32" s="1404">
        <f t="shared" si="95"/>
        <v>0</v>
      </c>
      <c r="ET32" s="1405">
        <f t="shared" si="95"/>
        <v>0</v>
      </c>
      <c r="EU32" s="1404">
        <f t="shared" si="95"/>
        <v>0</v>
      </c>
      <c r="EV32" s="117">
        <f t="shared" si="95"/>
        <v>0</v>
      </c>
      <c r="EW32" s="1404">
        <f t="shared" si="95"/>
        <v>0</v>
      </c>
      <c r="EX32" s="1405">
        <f t="shared" si="95"/>
        <v>0</v>
      </c>
      <c r="EY32" s="1404">
        <f t="shared" si="95"/>
        <v>0</v>
      </c>
      <c r="EZ32" s="116">
        <f t="shared" si="95"/>
        <v>71250000</v>
      </c>
      <c r="FA32" s="1413">
        <f t="shared" si="95"/>
        <v>71250000</v>
      </c>
      <c r="FB32" s="1404">
        <f t="shared" si="95"/>
        <v>0</v>
      </c>
      <c r="FC32" s="1436">
        <f t="shared" si="95"/>
        <v>0</v>
      </c>
      <c r="FD32" s="117">
        <f t="shared" si="95"/>
        <v>11461665.09</v>
      </c>
      <c r="FE32" s="1404">
        <f t="shared" si="95"/>
        <v>11461665.09</v>
      </c>
      <c r="FF32" s="1405">
        <f t="shared" si="95"/>
        <v>0</v>
      </c>
      <c r="FG32" s="1419">
        <f t="shared" si="95"/>
        <v>0</v>
      </c>
      <c r="FH32" s="118">
        <f t="shared" si="95"/>
        <v>220400000</v>
      </c>
      <c r="FI32" s="1404">
        <f t="shared" si="95"/>
        <v>220400000</v>
      </c>
      <c r="FJ32" s="1405">
        <f t="shared" si="95"/>
        <v>0</v>
      </c>
      <c r="FK32" s="1404">
        <f t="shared" si="95"/>
        <v>0</v>
      </c>
      <c r="FL32" s="117">
        <f t="shared" si="95"/>
        <v>56238230.719999999</v>
      </c>
      <c r="FM32" s="1404">
        <f t="shared" si="95"/>
        <v>56238230.719999999</v>
      </c>
      <c r="FN32" s="1405">
        <f t="shared" si="95"/>
        <v>0</v>
      </c>
      <c r="FO32" s="1413">
        <f t="shared" si="95"/>
        <v>0</v>
      </c>
      <c r="FP32" s="114">
        <f t="shared" si="95"/>
        <v>5200</v>
      </c>
      <c r="FQ32" s="1404">
        <f t="shared" si="95"/>
        <v>0</v>
      </c>
      <c r="FR32" s="1405">
        <f t="shared" si="95"/>
        <v>0</v>
      </c>
      <c r="FS32" s="1404">
        <f t="shared" si="95"/>
        <v>0</v>
      </c>
      <c r="FT32" s="117">
        <f t="shared" si="95"/>
        <v>0</v>
      </c>
      <c r="FU32" s="1404">
        <f t="shared" si="95"/>
        <v>0</v>
      </c>
      <c r="FV32" s="1405">
        <f t="shared" si="95"/>
        <v>0</v>
      </c>
      <c r="FW32" s="1419">
        <f t="shared" si="95"/>
        <v>0</v>
      </c>
      <c r="FX32" s="118">
        <f t="shared" si="95"/>
        <v>0</v>
      </c>
      <c r="FY32" s="1404">
        <f t="shared" si="95"/>
        <v>0</v>
      </c>
      <c r="FZ32" s="1405">
        <f t="shared" si="95"/>
        <v>0</v>
      </c>
      <c r="GA32" s="1404">
        <f t="shared" si="95"/>
        <v>0</v>
      </c>
      <c r="GB32" s="114">
        <f t="shared" si="95"/>
        <v>0</v>
      </c>
      <c r="GC32" s="1404">
        <f t="shared" si="95"/>
        <v>0</v>
      </c>
      <c r="GD32" s="1405">
        <f t="shared" si="95"/>
        <v>0</v>
      </c>
      <c r="GE32" s="1404">
        <f t="shared" si="95"/>
        <v>0</v>
      </c>
      <c r="GF32" s="116">
        <f t="shared" si="95"/>
        <v>0</v>
      </c>
      <c r="GG32" s="1404">
        <f t="shared" si="95"/>
        <v>0</v>
      </c>
      <c r="GH32" s="1405">
        <f t="shared" si="95"/>
        <v>0</v>
      </c>
      <c r="GI32" s="1404">
        <f t="shared" si="95"/>
        <v>0</v>
      </c>
      <c r="GJ32" s="116">
        <f t="shared" si="95"/>
        <v>0</v>
      </c>
      <c r="GK32" s="1404">
        <f t="shared" si="95"/>
        <v>0</v>
      </c>
      <c r="GL32" s="1405">
        <f t="shared" si="95"/>
        <v>0</v>
      </c>
      <c r="GM32" s="1404">
        <f t="shared" si="95"/>
        <v>0</v>
      </c>
      <c r="GN32" s="114">
        <f t="shared" si="95"/>
        <v>0</v>
      </c>
      <c r="GO32" s="1404">
        <f t="shared" si="95"/>
        <v>0</v>
      </c>
      <c r="GP32" s="1405">
        <f t="shared" si="95"/>
        <v>0</v>
      </c>
      <c r="GQ32" s="1413">
        <f t="shared" si="95"/>
        <v>0</v>
      </c>
      <c r="GR32" s="114">
        <f t="shared" si="95"/>
        <v>0</v>
      </c>
      <c r="GS32" s="1404">
        <f t="shared" si="95"/>
        <v>0</v>
      </c>
      <c r="GT32" s="1405">
        <f t="shared" si="95"/>
        <v>0</v>
      </c>
      <c r="GU32" s="1404">
        <f t="shared" si="95"/>
        <v>0</v>
      </c>
      <c r="GV32" s="116">
        <f t="shared" si="95"/>
        <v>0</v>
      </c>
      <c r="GW32" s="1404">
        <f t="shared" si="95"/>
        <v>0</v>
      </c>
      <c r="GX32" s="1405">
        <f t="shared" si="95"/>
        <v>0</v>
      </c>
      <c r="GY32" s="1404">
        <f t="shared" si="95"/>
        <v>0</v>
      </c>
      <c r="GZ32" s="114">
        <f t="shared" si="95"/>
        <v>0</v>
      </c>
      <c r="HA32" s="1404">
        <f t="shared" si="95"/>
        <v>0</v>
      </c>
      <c r="HB32" s="1405">
        <f t="shared" si="95"/>
        <v>0</v>
      </c>
      <c r="HC32" s="1404">
        <f t="shared" si="95"/>
        <v>0</v>
      </c>
      <c r="HD32" s="116">
        <f t="shared" si="95"/>
        <v>0</v>
      </c>
      <c r="HE32" s="1404">
        <f t="shared" si="95"/>
        <v>0</v>
      </c>
      <c r="HF32" s="1405">
        <f t="shared" si="95"/>
        <v>0</v>
      </c>
      <c r="HG32" s="1404">
        <f t="shared" si="95"/>
        <v>0</v>
      </c>
      <c r="HH32" s="114">
        <f t="shared" si="95"/>
        <v>0</v>
      </c>
      <c r="HI32" s="1404">
        <f t="shared" ref="HI32:HK32" si="111">SUM(HI30:HI31)</f>
        <v>0</v>
      </c>
      <c r="HJ32" s="1405">
        <f t="shared" si="111"/>
        <v>0</v>
      </c>
      <c r="HK32" s="1413">
        <f t="shared" si="111"/>
        <v>0</v>
      </c>
      <c r="HL32" s="114">
        <f>SUM(HL30:HL31)</f>
        <v>0</v>
      </c>
      <c r="HM32" s="1404">
        <f t="shared" ref="HM32:HO32" si="112">SUM(HM30:HM31)</f>
        <v>0</v>
      </c>
      <c r="HN32" s="1405">
        <f t="shared" si="112"/>
        <v>0</v>
      </c>
      <c r="HO32" s="1404">
        <f t="shared" si="112"/>
        <v>0</v>
      </c>
      <c r="HP32" s="114">
        <f>SUM(HP30:HP31)</f>
        <v>0</v>
      </c>
      <c r="HQ32" s="1404">
        <f t="shared" ref="HQ32" si="113">SUM(HQ30:HQ31)</f>
        <v>0</v>
      </c>
      <c r="HR32" s="1405">
        <f t="shared" ref="HR32:HS32" si="114">SUM(HR30:HR31)</f>
        <v>0</v>
      </c>
      <c r="HS32" s="1404">
        <f t="shared" si="114"/>
        <v>0</v>
      </c>
    </row>
    <row r="33" spans="1:227" ht="25.5" customHeight="1" x14ac:dyDescent="0.3">
      <c r="A33" s="96"/>
      <c r="B33" s="1445">
        <f t="shared" si="13"/>
        <v>0</v>
      </c>
      <c r="C33" s="1445">
        <f t="shared" si="14"/>
        <v>0</v>
      </c>
      <c r="D33" s="125"/>
      <c r="E33" s="1406"/>
      <c r="F33" s="1406"/>
      <c r="G33" s="1406"/>
      <c r="H33" s="125"/>
      <c r="I33" s="1406"/>
      <c r="J33" s="1406"/>
      <c r="K33" s="1406"/>
      <c r="L33" s="130"/>
      <c r="M33" s="1414"/>
      <c r="N33" s="1406"/>
      <c r="O33" s="1437"/>
      <c r="P33" s="125"/>
      <c r="Q33" s="1406"/>
      <c r="R33" s="1407"/>
      <c r="S33" s="1406"/>
      <c r="T33" s="199"/>
      <c r="U33" s="1406"/>
      <c r="V33" s="1407"/>
      <c r="W33" s="1406"/>
      <c r="X33" s="126"/>
      <c r="Y33" s="1406"/>
      <c r="Z33" s="1407"/>
      <c r="AA33" s="1406"/>
      <c r="AB33" s="129"/>
      <c r="AC33" s="1406"/>
      <c r="AD33" s="1407"/>
      <c r="AE33" s="1406"/>
      <c r="AF33" s="126"/>
      <c r="AG33" s="1406"/>
      <c r="AH33" s="1407"/>
      <c r="AI33" s="1406"/>
      <c r="AJ33" s="129"/>
      <c r="AK33" s="1406"/>
      <c r="AL33" s="1407"/>
      <c r="AM33" s="1406"/>
      <c r="AN33" s="819"/>
      <c r="AO33" s="1406"/>
      <c r="AP33" s="1407"/>
      <c r="AQ33" s="1406"/>
      <c r="AR33" s="199"/>
      <c r="AS33" s="1406"/>
      <c r="AT33" s="1407"/>
      <c r="AU33" s="1406"/>
      <c r="AV33" s="126"/>
      <c r="AW33" s="1406"/>
      <c r="AX33" s="1407"/>
      <c r="AY33" s="1406"/>
      <c r="AZ33" s="129"/>
      <c r="BA33" s="1406"/>
      <c r="BB33" s="1407"/>
      <c r="BC33" s="1406"/>
      <c r="BD33" s="126"/>
      <c r="BE33" s="1406"/>
      <c r="BF33" s="1407"/>
      <c r="BG33" s="1406"/>
      <c r="BH33" s="199"/>
      <c r="BI33" s="1406"/>
      <c r="BJ33" s="1407"/>
      <c r="BK33" s="1406"/>
      <c r="BL33" s="126"/>
      <c r="BM33" s="1406"/>
      <c r="BN33" s="1407"/>
      <c r="BO33" s="1406"/>
      <c r="BP33" s="199"/>
      <c r="BQ33" s="1406"/>
      <c r="BR33" s="1407"/>
      <c r="BS33" s="1406"/>
      <c r="BT33" s="126"/>
      <c r="BU33" s="1406"/>
      <c r="BV33" s="1407"/>
      <c r="BW33" s="1406"/>
      <c r="BX33" s="199"/>
      <c r="BY33" s="1406"/>
      <c r="BZ33" s="1407"/>
      <c r="CA33" s="1406"/>
      <c r="CB33" s="126"/>
      <c r="CC33" s="1406"/>
      <c r="CD33" s="1407"/>
      <c r="CE33" s="1406"/>
      <c r="CF33" s="199"/>
      <c r="CG33" s="1406"/>
      <c r="CH33" s="1407"/>
      <c r="CI33" s="1406"/>
      <c r="CJ33" s="126"/>
      <c r="CK33" s="1406"/>
      <c r="CL33" s="1407"/>
      <c r="CM33" s="1406"/>
      <c r="CN33" s="199"/>
      <c r="CO33" s="1406"/>
      <c r="CP33" s="1407"/>
      <c r="CQ33" s="1406"/>
      <c r="CR33" s="126"/>
      <c r="CS33" s="1406"/>
      <c r="CT33" s="1407"/>
      <c r="CU33" s="1406"/>
      <c r="CV33" s="199"/>
      <c r="CW33" s="1406"/>
      <c r="CX33" s="1407"/>
      <c r="CY33" s="1406"/>
      <c r="CZ33" s="126"/>
      <c r="DA33" s="1406"/>
      <c r="DB33" s="1407"/>
      <c r="DC33" s="1406"/>
      <c r="DD33" s="199"/>
      <c r="DE33" s="1406"/>
      <c r="DF33" s="1407"/>
      <c r="DG33" s="1406"/>
      <c r="DH33" s="126"/>
      <c r="DI33" s="1406"/>
      <c r="DJ33" s="1407"/>
      <c r="DK33" s="1406"/>
      <c r="DL33" s="199"/>
      <c r="DM33" s="1406"/>
      <c r="DN33" s="1407"/>
      <c r="DO33" s="1406"/>
      <c r="DP33" s="126"/>
      <c r="DQ33" s="1406"/>
      <c r="DR33" s="1407"/>
      <c r="DS33" s="1406"/>
      <c r="DT33" s="129"/>
      <c r="DU33" s="1406"/>
      <c r="DV33" s="1407"/>
      <c r="DW33" s="1406"/>
      <c r="DX33" s="126"/>
      <c r="DY33" s="1406"/>
      <c r="DZ33" s="1407"/>
      <c r="EA33" s="1406"/>
      <c r="EB33" s="199"/>
      <c r="EC33" s="1406"/>
      <c r="ED33" s="1407"/>
      <c r="EE33" s="1406"/>
      <c r="EF33" s="126"/>
      <c r="EG33" s="1406"/>
      <c r="EH33" s="1407"/>
      <c r="EI33" s="1406"/>
      <c r="EJ33" s="199"/>
      <c r="EK33" s="1406"/>
      <c r="EL33" s="1407"/>
      <c r="EM33" s="1406"/>
      <c r="EN33" s="126"/>
      <c r="EO33" s="1406"/>
      <c r="EP33" s="1407"/>
      <c r="EQ33" s="1406"/>
      <c r="ER33" s="199"/>
      <c r="ES33" s="1406"/>
      <c r="ET33" s="1407"/>
      <c r="EU33" s="1406"/>
      <c r="EV33" s="126"/>
      <c r="EW33" s="1406"/>
      <c r="EX33" s="1407"/>
      <c r="EY33" s="1406"/>
      <c r="EZ33" s="199"/>
      <c r="FA33" s="1414"/>
      <c r="FB33" s="1406"/>
      <c r="FC33" s="1437"/>
      <c r="FD33" s="126"/>
      <c r="FE33" s="1406"/>
      <c r="FF33" s="1407"/>
      <c r="FG33" s="1406"/>
      <c r="FH33" s="199"/>
      <c r="FI33" s="1406"/>
      <c r="FJ33" s="1407"/>
      <c r="FK33" s="1406"/>
      <c r="FL33" s="126"/>
      <c r="FM33" s="1406"/>
      <c r="FN33" s="1407"/>
      <c r="FO33" s="1414"/>
      <c r="FP33" s="128"/>
      <c r="FQ33" s="1406"/>
      <c r="FR33" s="1407"/>
      <c r="FS33" s="1406"/>
      <c r="FT33" s="126"/>
      <c r="FU33" s="1406"/>
      <c r="FV33" s="1407"/>
      <c r="FW33" s="1406"/>
      <c r="FX33" s="199"/>
      <c r="FY33" s="1406"/>
      <c r="FZ33" s="1407"/>
      <c r="GA33" s="1406"/>
      <c r="GB33" s="126"/>
      <c r="GC33" s="1406"/>
      <c r="GD33" s="1407"/>
      <c r="GE33" s="1406"/>
      <c r="GF33" s="199"/>
      <c r="GG33" s="1406"/>
      <c r="GH33" s="1407"/>
      <c r="GI33" s="1406"/>
      <c r="GJ33" s="126"/>
      <c r="GK33" s="1406"/>
      <c r="GL33" s="1407"/>
      <c r="GM33" s="1406"/>
      <c r="GN33" s="128"/>
      <c r="GO33" s="1406"/>
      <c r="GP33" s="1407"/>
      <c r="GQ33" s="1414"/>
      <c r="GR33" s="126"/>
      <c r="GS33" s="1406"/>
      <c r="GT33" s="1407"/>
      <c r="GU33" s="1406"/>
      <c r="GV33" s="199"/>
      <c r="GW33" s="1406"/>
      <c r="GX33" s="1407"/>
      <c r="GY33" s="1406"/>
      <c r="GZ33" s="126"/>
      <c r="HA33" s="1406"/>
      <c r="HB33" s="1407"/>
      <c r="HC33" s="1406"/>
      <c r="HD33" s="199"/>
      <c r="HE33" s="1406"/>
      <c r="HF33" s="1407"/>
      <c r="HG33" s="1406"/>
      <c r="HH33" s="126"/>
      <c r="HI33" s="1406"/>
      <c r="HJ33" s="1407"/>
      <c r="HK33" s="1414"/>
      <c r="HL33" s="128"/>
      <c r="HM33" s="1406"/>
      <c r="HN33" s="1407"/>
      <c r="HO33" s="1406"/>
      <c r="HP33" s="126"/>
      <c r="HQ33" s="1406"/>
      <c r="HR33" s="1407"/>
      <c r="HS33" s="1406"/>
    </row>
    <row r="34" spans="1:227" ht="25.5" customHeight="1" thickBot="1" x14ac:dyDescent="0.35">
      <c r="A34" s="106"/>
      <c r="B34" s="1445">
        <f t="shared" si="13"/>
        <v>0</v>
      </c>
      <c r="C34" s="1445">
        <f t="shared" si="14"/>
        <v>0</v>
      </c>
      <c r="D34" s="131"/>
      <c r="E34" s="1408"/>
      <c r="F34" s="1408"/>
      <c r="G34" s="1408"/>
      <c r="H34" s="131"/>
      <c r="I34" s="1408"/>
      <c r="J34" s="1408"/>
      <c r="K34" s="1408"/>
      <c r="L34" s="134"/>
      <c r="M34" s="1415"/>
      <c r="N34" s="1408"/>
      <c r="O34" s="1438"/>
      <c r="P34" s="131"/>
      <c r="Q34" s="1408"/>
      <c r="R34" s="1409"/>
      <c r="S34" s="1408"/>
      <c r="T34" s="200"/>
      <c r="U34" s="1408"/>
      <c r="V34" s="1409"/>
      <c r="W34" s="1408"/>
      <c r="X34" s="132"/>
      <c r="Y34" s="1408"/>
      <c r="Z34" s="1409"/>
      <c r="AA34" s="1408"/>
      <c r="AB34" s="133"/>
      <c r="AC34" s="1408"/>
      <c r="AD34" s="1409"/>
      <c r="AE34" s="1408"/>
      <c r="AF34" s="132"/>
      <c r="AG34" s="1408"/>
      <c r="AH34" s="1409"/>
      <c r="AI34" s="1408"/>
      <c r="AJ34" s="133"/>
      <c r="AK34" s="1408"/>
      <c r="AL34" s="1409"/>
      <c r="AM34" s="1408"/>
      <c r="AN34" s="200"/>
      <c r="AO34" s="1408"/>
      <c r="AP34" s="1409"/>
      <c r="AQ34" s="1408"/>
      <c r="AR34" s="200"/>
      <c r="AS34" s="1408"/>
      <c r="AT34" s="1409"/>
      <c r="AU34" s="1408"/>
      <c r="AV34" s="132"/>
      <c r="AW34" s="1408"/>
      <c r="AX34" s="1409"/>
      <c r="AY34" s="1408"/>
      <c r="AZ34" s="133"/>
      <c r="BA34" s="1408"/>
      <c r="BB34" s="1409"/>
      <c r="BC34" s="1408"/>
      <c r="BD34" s="132"/>
      <c r="BE34" s="1408"/>
      <c r="BF34" s="1409"/>
      <c r="BG34" s="1408"/>
      <c r="BH34" s="200"/>
      <c r="BI34" s="1408"/>
      <c r="BJ34" s="1409"/>
      <c r="BK34" s="1408"/>
      <c r="BL34" s="132"/>
      <c r="BM34" s="1408"/>
      <c r="BN34" s="1409"/>
      <c r="BO34" s="1408"/>
      <c r="BP34" s="200"/>
      <c r="BQ34" s="1408"/>
      <c r="BR34" s="1409"/>
      <c r="BS34" s="1408"/>
      <c r="BT34" s="132"/>
      <c r="BU34" s="1408"/>
      <c r="BV34" s="1409"/>
      <c r="BW34" s="1408"/>
      <c r="BX34" s="200"/>
      <c r="BY34" s="1408"/>
      <c r="BZ34" s="1409"/>
      <c r="CA34" s="1408"/>
      <c r="CB34" s="132"/>
      <c r="CC34" s="1408"/>
      <c r="CD34" s="1409"/>
      <c r="CE34" s="1408"/>
      <c r="CF34" s="200"/>
      <c r="CG34" s="1408"/>
      <c r="CH34" s="1409"/>
      <c r="CI34" s="1408"/>
      <c r="CJ34" s="132"/>
      <c r="CK34" s="1408"/>
      <c r="CL34" s="1409"/>
      <c r="CM34" s="1408"/>
      <c r="CN34" s="200"/>
      <c r="CO34" s="1408"/>
      <c r="CP34" s="1409"/>
      <c r="CQ34" s="1408"/>
      <c r="CR34" s="132"/>
      <c r="CS34" s="1408"/>
      <c r="CT34" s="1409"/>
      <c r="CU34" s="1408"/>
      <c r="CV34" s="200"/>
      <c r="CW34" s="1408"/>
      <c r="CX34" s="1409"/>
      <c r="CY34" s="1408"/>
      <c r="CZ34" s="132"/>
      <c r="DA34" s="1408"/>
      <c r="DB34" s="1409"/>
      <c r="DC34" s="1408"/>
      <c r="DD34" s="200"/>
      <c r="DE34" s="1408"/>
      <c r="DF34" s="1409"/>
      <c r="DG34" s="1408"/>
      <c r="DH34" s="132"/>
      <c r="DI34" s="1408"/>
      <c r="DJ34" s="1409"/>
      <c r="DK34" s="1408"/>
      <c r="DL34" s="200"/>
      <c r="DM34" s="1408"/>
      <c r="DN34" s="1409"/>
      <c r="DO34" s="1408"/>
      <c r="DP34" s="132"/>
      <c r="DQ34" s="1408"/>
      <c r="DR34" s="1409"/>
      <c r="DS34" s="1408"/>
      <c r="DT34" s="133"/>
      <c r="DU34" s="1408"/>
      <c r="DV34" s="1409"/>
      <c r="DW34" s="1408"/>
      <c r="DX34" s="132"/>
      <c r="DY34" s="1408"/>
      <c r="DZ34" s="1409"/>
      <c r="EA34" s="1408"/>
      <c r="EB34" s="200"/>
      <c r="EC34" s="1408"/>
      <c r="ED34" s="1409"/>
      <c r="EE34" s="1408"/>
      <c r="EF34" s="132"/>
      <c r="EG34" s="1408"/>
      <c r="EH34" s="1409"/>
      <c r="EI34" s="1408"/>
      <c r="EJ34" s="200"/>
      <c r="EK34" s="1408"/>
      <c r="EL34" s="1409"/>
      <c r="EM34" s="1408"/>
      <c r="EN34" s="132"/>
      <c r="EO34" s="1408"/>
      <c r="EP34" s="1409"/>
      <c r="EQ34" s="1408"/>
      <c r="ER34" s="200"/>
      <c r="ES34" s="1408"/>
      <c r="ET34" s="1409"/>
      <c r="EU34" s="1408"/>
      <c r="EV34" s="132"/>
      <c r="EW34" s="1408"/>
      <c r="EX34" s="1409"/>
      <c r="EY34" s="1408"/>
      <c r="EZ34" s="200"/>
      <c r="FA34" s="1415"/>
      <c r="FB34" s="1408"/>
      <c r="FC34" s="1438"/>
      <c r="FD34" s="132"/>
      <c r="FE34" s="1408"/>
      <c r="FF34" s="1409"/>
      <c r="FG34" s="1408"/>
      <c r="FH34" s="200"/>
      <c r="FI34" s="1408"/>
      <c r="FJ34" s="1409"/>
      <c r="FK34" s="1408"/>
      <c r="FL34" s="132"/>
      <c r="FM34" s="1408"/>
      <c r="FN34" s="1409"/>
      <c r="FO34" s="1415"/>
      <c r="FP34" s="132"/>
      <c r="FQ34" s="1408"/>
      <c r="FR34" s="1409"/>
      <c r="FS34" s="1408"/>
      <c r="FT34" s="132"/>
      <c r="FU34" s="1408"/>
      <c r="FV34" s="1409"/>
      <c r="FW34" s="1408"/>
      <c r="FX34" s="200"/>
      <c r="FY34" s="1408"/>
      <c r="FZ34" s="1409"/>
      <c r="GA34" s="1408"/>
      <c r="GB34" s="132"/>
      <c r="GC34" s="1408"/>
      <c r="GD34" s="1409"/>
      <c r="GE34" s="1408"/>
      <c r="GF34" s="200"/>
      <c r="GG34" s="1408"/>
      <c r="GH34" s="1409"/>
      <c r="GI34" s="1408"/>
      <c r="GJ34" s="132"/>
      <c r="GK34" s="1408"/>
      <c r="GL34" s="1409"/>
      <c r="GM34" s="1408"/>
      <c r="GN34" s="132"/>
      <c r="GO34" s="1408"/>
      <c r="GP34" s="1409"/>
      <c r="GQ34" s="1415"/>
      <c r="GR34" s="132"/>
      <c r="GS34" s="1408"/>
      <c r="GT34" s="1409"/>
      <c r="GU34" s="1408"/>
      <c r="GV34" s="200"/>
      <c r="GW34" s="1408"/>
      <c r="GX34" s="1409"/>
      <c r="GY34" s="1408"/>
      <c r="GZ34" s="132"/>
      <c r="HA34" s="1408"/>
      <c r="HB34" s="1409"/>
      <c r="HC34" s="1408"/>
      <c r="HD34" s="200"/>
      <c r="HE34" s="1408"/>
      <c r="HF34" s="1409"/>
      <c r="HG34" s="1408"/>
      <c r="HH34" s="132"/>
      <c r="HI34" s="1408"/>
      <c r="HJ34" s="1409"/>
      <c r="HK34" s="1415"/>
      <c r="HL34" s="132"/>
      <c r="HM34" s="1408"/>
      <c r="HN34" s="1409"/>
      <c r="HO34" s="1408"/>
      <c r="HP34" s="132"/>
      <c r="HQ34" s="1408"/>
      <c r="HR34" s="1409"/>
      <c r="HS34" s="1408"/>
    </row>
    <row r="35" spans="1:227" ht="25.5" customHeight="1" thickBot="1" x14ac:dyDescent="0.35">
      <c r="A35" s="153" t="s">
        <v>43</v>
      </c>
      <c r="B35" s="1445">
        <f t="shared" si="13"/>
        <v>5200.0000000447035</v>
      </c>
      <c r="C35" s="1445">
        <f t="shared" si="14"/>
        <v>0</v>
      </c>
      <c r="D35" s="110">
        <f t="shared" ref="D35:CR35" si="115">D28+D32</f>
        <v>1731528224.01</v>
      </c>
      <c r="E35" s="1422">
        <f t="shared" ref="E35:G35" si="116">E28+E32</f>
        <v>1536341961.3099999</v>
      </c>
      <c r="F35" s="1422">
        <f t="shared" si="116"/>
        <v>88404088.039999992</v>
      </c>
      <c r="G35" s="1422">
        <f t="shared" si="116"/>
        <v>106776974.66000001</v>
      </c>
      <c r="H35" s="110">
        <f t="shared" si="115"/>
        <v>532795620.71999991</v>
      </c>
      <c r="I35" s="1422">
        <f t="shared" si="115"/>
        <v>429710189.15999997</v>
      </c>
      <c r="J35" s="1422">
        <f t="shared" si="115"/>
        <v>44546227.059999987</v>
      </c>
      <c r="K35" s="1422">
        <f t="shared" si="115"/>
        <v>58539204.5</v>
      </c>
      <c r="L35" s="136">
        <f t="shared" si="115"/>
        <v>326102873.09000003</v>
      </c>
      <c r="M35" s="1416">
        <f t="shared" ref="M35:O35" si="117">M28+M32</f>
        <v>275429505.25</v>
      </c>
      <c r="N35" s="1410">
        <f t="shared" si="117"/>
        <v>0</v>
      </c>
      <c r="O35" s="1439">
        <f t="shared" si="117"/>
        <v>50673367.840000004</v>
      </c>
      <c r="P35" s="135">
        <f t="shared" si="115"/>
        <v>115229040.47</v>
      </c>
      <c r="Q35" s="1410">
        <f t="shared" ref="Q35:S35" si="118">Q28+Q32</f>
        <v>89240316.040000007</v>
      </c>
      <c r="R35" s="1411">
        <f t="shared" si="118"/>
        <v>0</v>
      </c>
      <c r="S35" s="1410">
        <f t="shared" si="118"/>
        <v>25988724.43</v>
      </c>
      <c r="T35" s="137">
        <f t="shared" si="115"/>
        <v>719971.8</v>
      </c>
      <c r="U35" s="1410">
        <f t="shared" si="115"/>
        <v>719971.8</v>
      </c>
      <c r="V35" s="1411">
        <f t="shared" si="115"/>
        <v>0</v>
      </c>
      <c r="W35" s="1410">
        <f t="shared" si="115"/>
        <v>0</v>
      </c>
      <c r="X35" s="138">
        <f t="shared" si="115"/>
        <v>0</v>
      </c>
      <c r="Y35" s="1410">
        <f t="shared" ref="Y35:AA35" si="119">Y28+Y32</f>
        <v>0</v>
      </c>
      <c r="Z35" s="1411">
        <f t="shared" si="119"/>
        <v>0</v>
      </c>
      <c r="AA35" s="1410">
        <f t="shared" si="119"/>
        <v>0</v>
      </c>
      <c r="AB35" s="139">
        <f t="shared" si="115"/>
        <v>1842356.4</v>
      </c>
      <c r="AC35" s="1410">
        <f t="shared" si="115"/>
        <v>1842356.4</v>
      </c>
      <c r="AD35" s="1411">
        <f t="shared" si="115"/>
        <v>0</v>
      </c>
      <c r="AE35" s="1410">
        <f t="shared" si="115"/>
        <v>0</v>
      </c>
      <c r="AF35" s="138">
        <f t="shared" si="115"/>
        <v>0</v>
      </c>
      <c r="AG35" s="1410">
        <f t="shared" si="115"/>
        <v>0</v>
      </c>
      <c r="AH35" s="1411">
        <f t="shared" ref="AH35:AI35" si="120">AH28+AH32</f>
        <v>0</v>
      </c>
      <c r="AI35" s="1410">
        <f t="shared" si="120"/>
        <v>0</v>
      </c>
      <c r="AJ35" s="139">
        <f>AJ28+AJ32</f>
        <v>6020700</v>
      </c>
      <c r="AK35" s="1410">
        <f t="shared" ref="AK35" si="121">AK28+AK32</f>
        <v>6020700</v>
      </c>
      <c r="AL35" s="1411">
        <f t="shared" ref="AL35:AM35" si="122">AL28+AL32</f>
        <v>0</v>
      </c>
      <c r="AM35" s="1410">
        <f t="shared" si="122"/>
        <v>0</v>
      </c>
      <c r="AN35" s="137">
        <f>AN28+AN32</f>
        <v>0</v>
      </c>
      <c r="AO35" s="1410">
        <f t="shared" ref="AO35" si="123">AO28+AO32</f>
        <v>0</v>
      </c>
      <c r="AP35" s="1411">
        <f t="shared" ref="AP35:AQ35" si="124">AP28+AP32</f>
        <v>0</v>
      </c>
      <c r="AQ35" s="1410">
        <f t="shared" si="124"/>
        <v>0</v>
      </c>
      <c r="AR35" s="137">
        <f t="shared" ref="AR35:BO35" si="125">AR28+AR32</f>
        <v>21769500</v>
      </c>
      <c r="AS35" s="1410">
        <f t="shared" si="125"/>
        <v>21769500</v>
      </c>
      <c r="AT35" s="1411">
        <f t="shared" si="125"/>
        <v>0</v>
      </c>
      <c r="AU35" s="1410">
        <f t="shared" si="125"/>
        <v>0</v>
      </c>
      <c r="AV35" s="138">
        <f t="shared" si="125"/>
        <v>2721180</v>
      </c>
      <c r="AW35" s="1410">
        <f t="shared" ref="AW35" si="126">AW28+AW32</f>
        <v>2721180</v>
      </c>
      <c r="AX35" s="1411">
        <f t="shared" si="125"/>
        <v>0</v>
      </c>
      <c r="AY35" s="1410">
        <f t="shared" si="125"/>
        <v>0</v>
      </c>
      <c r="AZ35" s="139">
        <f t="shared" si="125"/>
        <v>40000000</v>
      </c>
      <c r="BA35" s="1410">
        <f t="shared" si="125"/>
        <v>40000000</v>
      </c>
      <c r="BB35" s="1411">
        <f t="shared" si="125"/>
        <v>0</v>
      </c>
      <c r="BC35" s="1410">
        <f t="shared" si="125"/>
        <v>0</v>
      </c>
      <c r="BD35" s="138">
        <f t="shared" si="125"/>
        <v>14000000</v>
      </c>
      <c r="BE35" s="1410">
        <f t="shared" si="125"/>
        <v>14000000</v>
      </c>
      <c r="BF35" s="1411">
        <f t="shared" si="125"/>
        <v>0</v>
      </c>
      <c r="BG35" s="1410">
        <f t="shared" si="125"/>
        <v>0</v>
      </c>
      <c r="BH35" s="137">
        <f t="shared" si="125"/>
        <v>361579600</v>
      </c>
      <c r="BI35" s="1410">
        <f t="shared" si="125"/>
        <v>361579600</v>
      </c>
      <c r="BJ35" s="1411">
        <f t="shared" si="125"/>
        <v>0</v>
      </c>
      <c r="BK35" s="1410">
        <f t="shared" si="125"/>
        <v>0</v>
      </c>
      <c r="BL35" s="138">
        <f t="shared" si="125"/>
        <v>30226436.699999999</v>
      </c>
      <c r="BM35" s="1410">
        <f t="shared" ref="BM35" si="127">BM28+BM32</f>
        <v>30226436.699999999</v>
      </c>
      <c r="BN35" s="1411">
        <f t="shared" si="125"/>
        <v>0</v>
      </c>
      <c r="BO35" s="1410">
        <f t="shared" si="125"/>
        <v>0</v>
      </c>
      <c r="BP35" s="137">
        <f>BP28+BP32</f>
        <v>4379100</v>
      </c>
      <c r="BQ35" s="1410">
        <f t="shared" ref="BQ35:BS35" si="128">BQ28+BQ32</f>
        <v>4379100</v>
      </c>
      <c r="BR35" s="1411">
        <f t="shared" si="128"/>
        <v>0</v>
      </c>
      <c r="BS35" s="1410">
        <f t="shared" si="128"/>
        <v>0</v>
      </c>
      <c r="BT35" s="138">
        <f>BT28+BT32</f>
        <v>3837218.05</v>
      </c>
      <c r="BU35" s="1410">
        <f t="shared" ref="BU35:BW35" si="129">BU28+BU32</f>
        <v>3837218.05</v>
      </c>
      <c r="BV35" s="1411">
        <f t="shared" si="129"/>
        <v>0</v>
      </c>
      <c r="BW35" s="1410">
        <f t="shared" si="129"/>
        <v>0</v>
      </c>
      <c r="BX35" s="137">
        <f>BX28+BX32</f>
        <v>18848700.039999999</v>
      </c>
      <c r="BY35" s="1410">
        <f t="shared" ref="BY35:CA35" si="130">BY28+BY32</f>
        <v>9673085.0700000003</v>
      </c>
      <c r="BZ35" s="1411">
        <f t="shared" si="130"/>
        <v>8203616.8300000001</v>
      </c>
      <c r="CA35" s="1410">
        <f t="shared" si="130"/>
        <v>971998.14</v>
      </c>
      <c r="CB35" s="138">
        <f>CB28+CB32</f>
        <v>17937970.479999997</v>
      </c>
      <c r="CC35" s="1410">
        <f t="shared" ref="CC35:CE35" si="131">CC28+CC32</f>
        <v>9369022.4499999993</v>
      </c>
      <c r="CD35" s="1411">
        <f t="shared" si="131"/>
        <v>7596949.8899999997</v>
      </c>
      <c r="CE35" s="1410">
        <f t="shared" si="131"/>
        <v>971998.14000000013</v>
      </c>
      <c r="CF35" s="137">
        <f t="shared" si="115"/>
        <v>342499.99</v>
      </c>
      <c r="CG35" s="1410">
        <f t="shared" si="115"/>
        <v>330504.21000000002</v>
      </c>
      <c r="CH35" s="1411">
        <f t="shared" si="115"/>
        <v>0</v>
      </c>
      <c r="CI35" s="1410">
        <f t="shared" si="115"/>
        <v>11995.779999999999</v>
      </c>
      <c r="CJ35" s="138">
        <f t="shared" si="115"/>
        <v>342499.99</v>
      </c>
      <c r="CK35" s="1410">
        <f t="shared" ref="CK35:CM35" si="132">CK28+CK32</f>
        <v>330504.21000000002</v>
      </c>
      <c r="CL35" s="1411">
        <f t="shared" si="132"/>
        <v>0</v>
      </c>
      <c r="CM35" s="1410">
        <f t="shared" si="132"/>
        <v>11995.779999999999</v>
      </c>
      <c r="CN35" s="137">
        <f t="shared" si="115"/>
        <v>240900</v>
      </c>
      <c r="CO35" s="1410">
        <f t="shared" si="115"/>
        <v>194274.19999999998</v>
      </c>
      <c r="CP35" s="1411">
        <f t="shared" si="115"/>
        <v>23312.9</v>
      </c>
      <c r="CQ35" s="1410">
        <f t="shared" si="115"/>
        <v>23312.9</v>
      </c>
      <c r="CR35" s="138">
        <f t="shared" si="115"/>
        <v>240900</v>
      </c>
      <c r="CS35" s="1410">
        <f t="shared" ref="CS35:CU35" si="133">CS28+CS32</f>
        <v>194274.19999999998</v>
      </c>
      <c r="CT35" s="1411">
        <f t="shared" si="133"/>
        <v>23312.9</v>
      </c>
      <c r="CU35" s="1410">
        <f t="shared" si="133"/>
        <v>23312.9</v>
      </c>
      <c r="CV35" s="137">
        <f>CV28+CV32</f>
        <v>0</v>
      </c>
      <c r="CW35" s="1410">
        <f t="shared" ref="CW35:CY35" si="134">CW28+CW32</f>
        <v>0</v>
      </c>
      <c r="CX35" s="1411">
        <f t="shared" si="134"/>
        <v>0</v>
      </c>
      <c r="CY35" s="1410">
        <f t="shared" si="134"/>
        <v>0</v>
      </c>
      <c r="CZ35" s="138">
        <f>CZ28+CZ32</f>
        <v>0</v>
      </c>
      <c r="DA35" s="1410">
        <f t="shared" ref="DA35:DC35" si="135">DA28+DA32</f>
        <v>0</v>
      </c>
      <c r="DB35" s="1411">
        <f t="shared" si="135"/>
        <v>0</v>
      </c>
      <c r="DC35" s="1410">
        <f t="shared" si="135"/>
        <v>0</v>
      </c>
      <c r="DD35" s="137">
        <f>DD28+DD32</f>
        <v>44458800</v>
      </c>
      <c r="DE35" s="1410">
        <f t="shared" ref="DE35:DG35" si="136">DE28+DE32</f>
        <v>0</v>
      </c>
      <c r="DF35" s="1411">
        <f t="shared" si="136"/>
        <v>44458800</v>
      </c>
      <c r="DG35" s="1410">
        <f t="shared" si="136"/>
        <v>0</v>
      </c>
      <c r="DH35" s="138">
        <f>DH28+DH32</f>
        <v>8044658.96</v>
      </c>
      <c r="DI35" s="1410">
        <f t="shared" ref="DI35:DK35" si="137">DI28+DI32</f>
        <v>0</v>
      </c>
      <c r="DJ35" s="1411">
        <f t="shared" si="137"/>
        <v>8044658.96</v>
      </c>
      <c r="DK35" s="1410">
        <f t="shared" si="137"/>
        <v>0</v>
      </c>
      <c r="DL35" s="137">
        <f t="shared" ref="DL35:HH35" si="138">DL28+DL32</f>
        <v>282905000</v>
      </c>
      <c r="DM35" s="1410">
        <f t="shared" si="138"/>
        <v>282905000</v>
      </c>
      <c r="DN35" s="1411">
        <f t="shared" si="138"/>
        <v>0</v>
      </c>
      <c r="DO35" s="1410">
        <f t="shared" si="138"/>
        <v>0</v>
      </c>
      <c r="DP35" s="138">
        <f t="shared" si="138"/>
        <v>162487203.78999999</v>
      </c>
      <c r="DQ35" s="1410">
        <f t="shared" ref="DQ35" si="139">DQ28+DQ32</f>
        <v>162487203.78999999</v>
      </c>
      <c r="DR35" s="1411">
        <f t="shared" si="138"/>
        <v>0</v>
      </c>
      <c r="DS35" s="1410">
        <f t="shared" si="138"/>
        <v>0</v>
      </c>
      <c r="DT35" s="139">
        <f t="shared" si="138"/>
        <v>41890500</v>
      </c>
      <c r="DU35" s="1410">
        <f t="shared" si="138"/>
        <v>41890500</v>
      </c>
      <c r="DV35" s="1411">
        <f t="shared" si="138"/>
        <v>0</v>
      </c>
      <c r="DW35" s="1410">
        <f t="shared" si="138"/>
        <v>0</v>
      </c>
      <c r="DX35" s="138">
        <f t="shared" si="138"/>
        <v>6847889.1200000001</v>
      </c>
      <c r="DY35" s="1410">
        <f t="shared" si="138"/>
        <v>6847889.1200000001</v>
      </c>
      <c r="DZ35" s="1411">
        <f t="shared" si="138"/>
        <v>0</v>
      </c>
      <c r="EA35" s="1410">
        <f t="shared" si="138"/>
        <v>0</v>
      </c>
      <c r="EB35" s="137">
        <f t="shared" si="138"/>
        <v>60260100</v>
      </c>
      <c r="EC35" s="1410">
        <f t="shared" si="138"/>
        <v>60260100</v>
      </c>
      <c r="ED35" s="1411">
        <f t="shared" si="138"/>
        <v>0</v>
      </c>
      <c r="EE35" s="1410">
        <f t="shared" si="138"/>
        <v>0</v>
      </c>
      <c r="EF35" s="138">
        <f t="shared" si="138"/>
        <v>27931487.989999998</v>
      </c>
      <c r="EG35" s="1410">
        <f t="shared" si="138"/>
        <v>27931487.989999998</v>
      </c>
      <c r="EH35" s="1411">
        <f t="shared" si="138"/>
        <v>0</v>
      </c>
      <c r="EI35" s="1410">
        <f t="shared" si="138"/>
        <v>0</v>
      </c>
      <c r="EJ35" s="137">
        <f>EJ28+EJ32</f>
        <v>91702700</v>
      </c>
      <c r="EK35" s="1410">
        <f t="shared" ref="EK35:EM35" si="140">EK28+EK32</f>
        <v>91702700</v>
      </c>
      <c r="EL35" s="1411">
        <f t="shared" si="140"/>
        <v>0</v>
      </c>
      <c r="EM35" s="1410">
        <f t="shared" si="140"/>
        <v>0</v>
      </c>
      <c r="EN35" s="138">
        <f>EN28+EN32</f>
        <v>0</v>
      </c>
      <c r="EO35" s="1410">
        <f t="shared" ref="EO35:EQ35" si="141">EO28+EO32</f>
        <v>0</v>
      </c>
      <c r="EP35" s="1411">
        <f t="shared" si="141"/>
        <v>0</v>
      </c>
      <c r="EQ35" s="1410">
        <f t="shared" si="141"/>
        <v>0</v>
      </c>
      <c r="ER35" s="137">
        <f>ER28+ER32</f>
        <v>0</v>
      </c>
      <c r="ES35" s="1410">
        <f t="shared" ref="ES35:EU35" si="142">ES28+ES32</f>
        <v>0</v>
      </c>
      <c r="ET35" s="1411">
        <f t="shared" si="142"/>
        <v>0</v>
      </c>
      <c r="EU35" s="1410">
        <f t="shared" si="142"/>
        <v>0</v>
      </c>
      <c r="EV35" s="138">
        <f>EV28+EV32</f>
        <v>0</v>
      </c>
      <c r="EW35" s="1410">
        <f t="shared" ref="EW35:EY35" si="143">EW28+EW32</f>
        <v>0</v>
      </c>
      <c r="EX35" s="1411">
        <f t="shared" si="143"/>
        <v>0</v>
      </c>
      <c r="EY35" s="1410">
        <f t="shared" si="143"/>
        <v>0</v>
      </c>
      <c r="EZ35" s="137">
        <f t="shared" si="138"/>
        <v>103546300</v>
      </c>
      <c r="FA35" s="1416">
        <f t="shared" si="138"/>
        <v>71250000</v>
      </c>
      <c r="FB35" s="1410">
        <f t="shared" si="138"/>
        <v>0</v>
      </c>
      <c r="FC35" s="1439">
        <f t="shared" si="138"/>
        <v>32296300</v>
      </c>
      <c r="FD35" s="138">
        <f t="shared" si="138"/>
        <v>27880830.740000002</v>
      </c>
      <c r="FE35" s="1410">
        <f t="shared" si="138"/>
        <v>11461665.09</v>
      </c>
      <c r="FF35" s="1411">
        <f t="shared" si="138"/>
        <v>0</v>
      </c>
      <c r="FG35" s="1410">
        <f t="shared" si="138"/>
        <v>16419165.65</v>
      </c>
      <c r="FH35" s="137">
        <f t="shared" si="138"/>
        <v>243200000</v>
      </c>
      <c r="FI35" s="1410">
        <f t="shared" si="138"/>
        <v>220400000</v>
      </c>
      <c r="FJ35" s="1411">
        <f t="shared" si="138"/>
        <v>0</v>
      </c>
      <c r="FK35" s="1410">
        <f t="shared" si="138"/>
        <v>22800000</v>
      </c>
      <c r="FL35" s="138">
        <f t="shared" si="138"/>
        <v>71362238.319999993</v>
      </c>
      <c r="FM35" s="1410">
        <f t="shared" si="138"/>
        <v>56238230.719999999</v>
      </c>
      <c r="FN35" s="1411">
        <f t="shared" si="138"/>
        <v>0</v>
      </c>
      <c r="FO35" s="1416">
        <f t="shared" si="138"/>
        <v>15124007.6</v>
      </c>
      <c r="FP35" s="138">
        <f t="shared" si="138"/>
        <v>5200</v>
      </c>
      <c r="FQ35" s="1410">
        <f t="shared" si="138"/>
        <v>0</v>
      </c>
      <c r="FR35" s="1411">
        <f t="shared" si="138"/>
        <v>0</v>
      </c>
      <c r="FS35" s="1410">
        <f t="shared" si="138"/>
        <v>0</v>
      </c>
      <c r="FT35" s="138">
        <f t="shared" si="138"/>
        <v>0</v>
      </c>
      <c r="FU35" s="1410">
        <f t="shared" si="138"/>
        <v>0</v>
      </c>
      <c r="FV35" s="1411">
        <f t="shared" si="138"/>
        <v>0</v>
      </c>
      <c r="FW35" s="1410">
        <f t="shared" si="138"/>
        <v>0</v>
      </c>
      <c r="FX35" s="137">
        <f t="shared" si="138"/>
        <v>1688800</v>
      </c>
      <c r="FY35" s="1410">
        <f t="shared" si="138"/>
        <v>0</v>
      </c>
      <c r="FZ35" s="1411">
        <f t="shared" si="138"/>
        <v>1688800</v>
      </c>
      <c r="GA35" s="1410">
        <f t="shared" si="138"/>
        <v>0</v>
      </c>
      <c r="GB35" s="138">
        <f t="shared" si="138"/>
        <v>1396786.19</v>
      </c>
      <c r="GC35" s="1410">
        <f t="shared" si="138"/>
        <v>0</v>
      </c>
      <c r="GD35" s="1411">
        <f t="shared" si="138"/>
        <v>1396786.19</v>
      </c>
      <c r="GE35" s="1410">
        <f t="shared" si="138"/>
        <v>0</v>
      </c>
      <c r="GF35" s="137">
        <f t="shared" si="138"/>
        <v>0</v>
      </c>
      <c r="GG35" s="1410">
        <f t="shared" si="138"/>
        <v>0</v>
      </c>
      <c r="GH35" s="1411">
        <f t="shared" si="138"/>
        <v>0</v>
      </c>
      <c r="GI35" s="1410">
        <f t="shared" si="138"/>
        <v>0</v>
      </c>
      <c r="GJ35" s="138">
        <f t="shared" si="138"/>
        <v>0</v>
      </c>
      <c r="GK35" s="1410">
        <f t="shared" si="138"/>
        <v>0</v>
      </c>
      <c r="GL35" s="1411">
        <f t="shared" si="138"/>
        <v>0</v>
      </c>
      <c r="GM35" s="1410">
        <f t="shared" si="138"/>
        <v>0</v>
      </c>
      <c r="GN35" s="138">
        <f t="shared" si="138"/>
        <v>1466000</v>
      </c>
      <c r="GO35" s="1410">
        <f t="shared" si="138"/>
        <v>0</v>
      </c>
      <c r="GP35" s="1411">
        <f t="shared" si="138"/>
        <v>1466000</v>
      </c>
      <c r="GQ35" s="1416">
        <f t="shared" si="138"/>
        <v>0</v>
      </c>
      <c r="GR35" s="138">
        <f t="shared" si="138"/>
        <v>0</v>
      </c>
      <c r="GS35" s="1410">
        <f t="shared" si="138"/>
        <v>0</v>
      </c>
      <c r="GT35" s="1411">
        <f t="shared" si="138"/>
        <v>0</v>
      </c>
      <c r="GU35" s="1410">
        <f t="shared" si="138"/>
        <v>0</v>
      </c>
      <c r="GV35" s="137">
        <f t="shared" si="138"/>
        <v>29278500</v>
      </c>
      <c r="GW35" s="1410">
        <f t="shared" si="138"/>
        <v>0</v>
      </c>
      <c r="GX35" s="1411">
        <f t="shared" si="138"/>
        <v>29278500</v>
      </c>
      <c r="GY35" s="1410">
        <f t="shared" si="138"/>
        <v>0</v>
      </c>
      <c r="GZ35" s="138">
        <f t="shared" si="138"/>
        <v>24268288.16</v>
      </c>
      <c r="HA35" s="1410">
        <f t="shared" si="138"/>
        <v>0</v>
      </c>
      <c r="HB35" s="1411">
        <f t="shared" si="138"/>
        <v>24268288.16</v>
      </c>
      <c r="HC35" s="1410">
        <f t="shared" si="138"/>
        <v>0</v>
      </c>
      <c r="HD35" s="137">
        <f t="shared" si="138"/>
        <v>7879434.7299999995</v>
      </c>
      <c r="HE35" s="1410">
        <f t="shared" si="138"/>
        <v>4594376.42</v>
      </c>
      <c r="HF35" s="1411">
        <f t="shared" si="138"/>
        <v>3285058.3099999996</v>
      </c>
      <c r="HG35" s="1410">
        <f t="shared" si="138"/>
        <v>0</v>
      </c>
      <c r="HH35" s="138">
        <f t="shared" si="138"/>
        <v>3216230.96</v>
      </c>
      <c r="HI35" s="1410">
        <f t="shared" ref="HI35:HK35" si="144">HI28+HI32</f>
        <v>0</v>
      </c>
      <c r="HJ35" s="1411">
        <f t="shared" si="144"/>
        <v>3216230.96</v>
      </c>
      <c r="HK35" s="1416">
        <f t="shared" si="144"/>
        <v>0</v>
      </c>
      <c r="HL35" s="138">
        <f>HL28+HL32</f>
        <v>41400687.959999993</v>
      </c>
      <c r="HM35" s="1410">
        <f t="shared" ref="HM35:HO35" si="145">HM28+HM32</f>
        <v>41400687.959999993</v>
      </c>
      <c r="HN35" s="1411">
        <f t="shared" si="145"/>
        <v>0</v>
      </c>
      <c r="HO35" s="1410">
        <f t="shared" si="145"/>
        <v>0</v>
      </c>
      <c r="HP35" s="138">
        <f>HP28+HP32</f>
        <v>14824760.800000001</v>
      </c>
      <c r="HQ35" s="1410">
        <f t="shared" ref="HQ35" si="146">HQ28+HQ32</f>
        <v>14824760.800000001</v>
      </c>
      <c r="HR35" s="1411">
        <f t="shared" ref="HR35:HS35" si="147">HR28+HR32</f>
        <v>0</v>
      </c>
      <c r="HS35" s="1410">
        <f t="shared" si="147"/>
        <v>0</v>
      </c>
    </row>
    <row r="36" spans="1:227" s="157" customFormat="1" ht="16.8" x14ac:dyDescent="0.3">
      <c r="A36" s="87"/>
      <c r="B36" s="87"/>
      <c r="C36" s="87"/>
      <c r="D36" s="140">
        <f>D35-E35-F35-G35</f>
        <v>5200.0000000447035</v>
      </c>
      <c r="E36" s="152"/>
      <c r="F36" s="152"/>
      <c r="G36" s="152"/>
      <c r="H36" s="140">
        <f>H35-I35-J35-K35</f>
        <v>0</v>
      </c>
      <c r="I36" s="152"/>
      <c r="J36" s="152"/>
      <c r="K36" s="152"/>
      <c r="L36" s="140">
        <f>L35-M35-N35-O35</f>
        <v>0</v>
      </c>
      <c r="M36" s="140"/>
      <c r="N36" s="140"/>
      <c r="O36" s="140"/>
      <c r="P36" s="140">
        <f>P35-Q35-R35-S35</f>
        <v>0</v>
      </c>
      <c r="Q36" s="140"/>
      <c r="R36" s="140"/>
      <c r="S36" s="140"/>
      <c r="T36" s="140">
        <f>T35-U35-V35-W35</f>
        <v>0</v>
      </c>
      <c r="U36" s="142"/>
      <c r="V36" s="142"/>
      <c r="W36" s="142"/>
      <c r="X36" s="140">
        <f>X35-Y35-Z35-AA35</f>
        <v>0</v>
      </c>
      <c r="Y36" s="142"/>
      <c r="Z36" s="142"/>
      <c r="AA36" s="142"/>
      <c r="AB36" s="140">
        <f>AB35-AC35-AD35-AE35</f>
        <v>0</v>
      </c>
      <c r="AC36" s="142"/>
      <c r="AD36" s="142"/>
      <c r="AE36" s="142"/>
      <c r="AF36" s="140">
        <f>AF35-AG35-AH35-AI35</f>
        <v>0</v>
      </c>
      <c r="AG36" s="142"/>
      <c r="AH36" s="142"/>
      <c r="AI36" s="142"/>
      <c r="AJ36" s="140">
        <f>AJ35-AK35-AL35-AM35</f>
        <v>0</v>
      </c>
      <c r="AK36" s="142"/>
      <c r="AL36" s="142"/>
      <c r="AM36" s="142"/>
      <c r="AN36" s="140">
        <f>AN35-AO35-AP35-AQ35</f>
        <v>0</v>
      </c>
      <c r="AO36" s="142"/>
      <c r="AP36" s="142"/>
      <c r="AQ36" s="142"/>
      <c r="AR36" s="140">
        <f>AR35-AS35-AT35-AU35</f>
        <v>0</v>
      </c>
      <c r="AS36" s="142"/>
      <c r="AT36" s="142"/>
      <c r="AU36" s="142"/>
      <c r="AV36" s="140">
        <f>AV35-AW35-AX35-AY35</f>
        <v>0</v>
      </c>
      <c r="AW36" s="142"/>
      <c r="AX36" s="142"/>
      <c r="AY36" s="142"/>
      <c r="AZ36" s="140">
        <f>AZ35-BA35-BB35-BC35</f>
        <v>0</v>
      </c>
      <c r="BA36" s="142"/>
      <c r="BB36" s="142"/>
      <c r="BC36" s="142"/>
      <c r="BD36" s="140">
        <f>BD35-BE35-BF35-BG35</f>
        <v>0</v>
      </c>
      <c r="BE36" s="142"/>
      <c r="BF36" s="142"/>
      <c r="BG36" s="142"/>
      <c r="BH36" s="140">
        <f>BH35-BI35-BJ35-BK35</f>
        <v>0</v>
      </c>
      <c r="BI36" s="142"/>
      <c r="BJ36" s="142"/>
      <c r="BK36" s="142"/>
      <c r="BL36" s="140">
        <f>BL35-BM35-BN35-BO35</f>
        <v>0</v>
      </c>
      <c r="BM36" s="142"/>
      <c r="BN36" s="142"/>
      <c r="BO36" s="142"/>
      <c r="BP36" s="140">
        <f>BP35-BQ35-BR35-BS35</f>
        <v>0</v>
      </c>
      <c r="BQ36" s="142"/>
      <c r="BR36" s="142"/>
      <c r="BS36" s="142"/>
      <c r="BT36" s="140">
        <f>BT35-BU35-BV35-BW35</f>
        <v>0</v>
      </c>
      <c r="BU36" s="142"/>
      <c r="BV36" s="142"/>
      <c r="BW36" s="142"/>
      <c r="BX36" s="140">
        <f>BX35-BY35-BZ35-CA35</f>
        <v>-1.280568540096283E-9</v>
      </c>
      <c r="BY36" s="142"/>
      <c r="BZ36" s="142"/>
      <c r="CA36" s="142"/>
      <c r="CB36" s="140">
        <f>CB35-CC35-CD35-CE35</f>
        <v>-2.3283064365386963E-9</v>
      </c>
      <c r="CC36" s="142"/>
      <c r="CD36" s="142"/>
      <c r="CE36" s="142"/>
      <c r="CF36" s="140">
        <f>CF35-CG35-CH35-CI35</f>
        <v>-2.9103830456733704E-11</v>
      </c>
      <c r="CG36" s="142"/>
      <c r="CH36" s="142"/>
      <c r="CI36" s="142"/>
      <c r="CJ36" s="140">
        <f>CJ35-CK35-CL35-CM35</f>
        <v>-2.9103830456733704E-11</v>
      </c>
      <c r="CK36" s="142"/>
      <c r="CL36" s="142"/>
      <c r="CM36" s="142"/>
      <c r="CN36" s="140">
        <f>CN35-CO35-CP35-CQ35</f>
        <v>0</v>
      </c>
      <c r="CO36" s="142"/>
      <c r="CP36" s="142"/>
      <c r="CQ36" s="142"/>
      <c r="CR36" s="140">
        <f>CR35-CS35-CT35-CU35</f>
        <v>0</v>
      </c>
      <c r="CS36" s="142"/>
      <c r="CT36" s="142"/>
      <c r="CU36" s="142"/>
      <c r="CV36" s="140">
        <f>CV35-CW35-CX35-CY35</f>
        <v>0</v>
      </c>
      <c r="CW36" s="142"/>
      <c r="CX36" s="142"/>
      <c r="CY36" s="142"/>
      <c r="CZ36" s="140">
        <f>CZ35-DA35-DB35-DC35</f>
        <v>0</v>
      </c>
      <c r="DA36" s="142"/>
      <c r="DB36" s="142"/>
      <c r="DC36" s="142"/>
      <c r="DD36" s="140">
        <f>DD35-DE35-DF35-DG35</f>
        <v>0</v>
      </c>
      <c r="DE36" s="142"/>
      <c r="DF36" s="142"/>
      <c r="DG36" s="142"/>
      <c r="DH36" s="140">
        <f>DH35-DI35-DJ35-DK35</f>
        <v>0</v>
      </c>
      <c r="DI36" s="142"/>
      <c r="DJ36" s="142"/>
      <c r="DK36" s="142"/>
      <c r="DL36" s="140">
        <f>DL35-DM35-DN35-DO35</f>
        <v>0</v>
      </c>
      <c r="DM36" s="142"/>
      <c r="DN36" s="142"/>
      <c r="DO36" s="142"/>
      <c r="DP36" s="140">
        <f>DP35-DQ35-DR35-DS35</f>
        <v>0</v>
      </c>
      <c r="DQ36" s="142"/>
      <c r="DR36" s="142"/>
      <c r="DS36" s="142"/>
      <c r="DT36" s="140">
        <f>DT35-DU35-DV35-DW35</f>
        <v>0</v>
      </c>
      <c r="DU36" s="142"/>
      <c r="DV36" s="142"/>
      <c r="DW36" s="142"/>
      <c r="DX36" s="140">
        <f>DX35-DY35-DZ35-EA35</f>
        <v>0</v>
      </c>
      <c r="DY36" s="142"/>
      <c r="DZ36" s="142"/>
      <c r="EA36" s="142"/>
      <c r="EB36" s="140">
        <f>EB35-EC35-ED35-EE35</f>
        <v>0</v>
      </c>
      <c r="EC36" s="142"/>
      <c r="ED36" s="142"/>
      <c r="EE36" s="142"/>
      <c r="EF36" s="140">
        <f>EF35-EG35-EH35-EI35</f>
        <v>0</v>
      </c>
      <c r="EG36" s="142"/>
      <c r="EH36" s="142"/>
      <c r="EI36" s="142"/>
      <c r="EJ36" s="140">
        <f>EJ35-EK35-EL35-EM35</f>
        <v>0</v>
      </c>
      <c r="EK36" s="142"/>
      <c r="EL36" s="142"/>
      <c r="EM36" s="142"/>
      <c r="EN36" s="140">
        <f>EN35-EO35-EP35-EQ35</f>
        <v>0</v>
      </c>
      <c r="EO36" s="142"/>
      <c r="EP36" s="142"/>
      <c r="EQ36" s="142"/>
      <c r="ER36" s="140">
        <f>ER35-ES35-ET35-EU35</f>
        <v>0</v>
      </c>
      <c r="ES36" s="142"/>
      <c r="ET36" s="142"/>
      <c r="EU36" s="142"/>
      <c r="EV36" s="140">
        <f>EV35-EW35-EX35-EY35</f>
        <v>0</v>
      </c>
      <c r="EW36" s="142"/>
      <c r="EX36" s="142"/>
      <c r="EY36" s="142"/>
      <c r="EZ36" s="140">
        <f>EZ35-FA35-FB35-FC35</f>
        <v>0</v>
      </c>
      <c r="FA36" s="142"/>
      <c r="FB36" s="142"/>
      <c r="FC36" s="142"/>
      <c r="FD36" s="140">
        <f>FD35-FE35-FF35-FG35</f>
        <v>0</v>
      </c>
      <c r="FE36" s="142"/>
      <c r="FF36" s="142"/>
      <c r="FG36" s="142"/>
      <c r="FH36" s="140">
        <f>FH35-FI35-FJ35-FK35</f>
        <v>0</v>
      </c>
      <c r="FI36" s="142"/>
      <c r="FJ36" s="142"/>
      <c r="FK36" s="142"/>
      <c r="FL36" s="140">
        <f>FL35-FM35-FN35-FO35</f>
        <v>0</v>
      </c>
      <c r="FM36" s="142"/>
      <c r="FN36" s="142"/>
      <c r="FO36" s="142"/>
      <c r="FP36" s="140">
        <f>FP35-FQ35-FR35-FS35</f>
        <v>5200</v>
      </c>
      <c r="FQ36" s="142"/>
      <c r="FR36" s="142"/>
      <c r="FS36" s="142"/>
      <c r="FT36" s="140">
        <f>FT35-FU35-FV35-FW35</f>
        <v>0</v>
      </c>
      <c r="FU36" s="142"/>
      <c r="FV36" s="142"/>
      <c r="FW36" s="142"/>
      <c r="FX36" s="140">
        <f>FX35-FY35-FZ35-GA35</f>
        <v>0</v>
      </c>
      <c r="FY36" s="142"/>
      <c r="FZ36" s="142"/>
      <c r="GA36" s="142"/>
      <c r="GB36" s="140">
        <f>GB35-GC35-GD35-GE35</f>
        <v>0</v>
      </c>
      <c r="GC36" s="142"/>
      <c r="GD36" s="142"/>
      <c r="GE36" s="142"/>
      <c r="GF36" s="140">
        <f>GF35-GG35-GH35-GI35</f>
        <v>0</v>
      </c>
      <c r="GG36" s="142"/>
      <c r="GH36" s="142"/>
      <c r="GI36" s="142"/>
      <c r="GJ36" s="140">
        <f>GJ35-GK35-GL35-GM35</f>
        <v>0</v>
      </c>
      <c r="GK36" s="142"/>
      <c r="GL36" s="142"/>
      <c r="GM36" s="142"/>
      <c r="GN36" s="140">
        <f>GN35-GO35-GP35-GQ35</f>
        <v>0</v>
      </c>
      <c r="GO36" s="142"/>
      <c r="GP36" s="142"/>
      <c r="GQ36" s="142"/>
      <c r="GR36" s="140">
        <f>GR35-GS35-GT35-GU35</f>
        <v>0</v>
      </c>
      <c r="GS36" s="142"/>
      <c r="GT36" s="142"/>
      <c r="GU36" s="142"/>
      <c r="GV36" s="140">
        <f>GV35-GW35-GX35-GY35</f>
        <v>0</v>
      </c>
      <c r="GW36" s="142"/>
      <c r="GX36" s="142"/>
      <c r="GY36" s="142"/>
      <c r="GZ36" s="140">
        <f>GZ35-HA35-HB35-HC35</f>
        <v>0</v>
      </c>
      <c r="HA36" s="142"/>
      <c r="HB36" s="142"/>
      <c r="HC36" s="142"/>
      <c r="HD36" s="140">
        <f>HD35-HE35-HF35-HG35</f>
        <v>0</v>
      </c>
      <c r="HE36" s="142"/>
      <c r="HF36" s="142"/>
      <c r="HG36" s="142"/>
      <c r="HH36" s="140">
        <f>HH35-HI35-HJ35-HK35</f>
        <v>0</v>
      </c>
      <c r="HI36" s="142"/>
      <c r="HJ36" s="142"/>
      <c r="HK36" s="142"/>
      <c r="HL36" s="140">
        <f>HL35-HM35-HN35-HO35</f>
        <v>0</v>
      </c>
      <c r="HM36" s="142"/>
      <c r="HN36" s="142"/>
      <c r="HO36" s="142"/>
      <c r="HP36" s="140">
        <f>HP35-HQ35-HR35-HS35</f>
        <v>0</v>
      </c>
    </row>
    <row r="37" spans="1:227" s="160" customFormat="1" ht="36" customHeight="1" x14ac:dyDescent="0.3">
      <c r="A37" s="158"/>
      <c r="B37" s="158"/>
      <c r="C37" s="158"/>
      <c r="D37" s="152">
        <f>D35/1000-'Федеральные  средства'!B38</f>
        <v>0</v>
      </c>
      <c r="E37" s="159"/>
      <c r="F37" s="159"/>
      <c r="G37" s="159"/>
      <c r="H37" s="152">
        <f>H35/1000-'Федеральные  средства'!C38</f>
        <v>0</v>
      </c>
      <c r="I37" s="159"/>
      <c r="J37" s="159"/>
      <c r="K37" s="159"/>
      <c r="L37" s="1689" t="s">
        <v>740</v>
      </c>
      <c r="M37" s="1771"/>
      <c r="N37" s="1771"/>
      <c r="O37" s="1771"/>
      <c r="P37" s="1771"/>
      <c r="Q37" s="1771"/>
      <c r="R37" s="1771"/>
      <c r="S37" s="1690"/>
      <c r="T37" s="1689" t="s">
        <v>678</v>
      </c>
      <c r="U37" s="1771"/>
      <c r="V37" s="1771"/>
      <c r="W37" s="1771"/>
      <c r="X37" s="1771"/>
      <c r="Y37" s="1771"/>
      <c r="Z37" s="1771"/>
      <c r="AA37" s="1690"/>
      <c r="AB37" s="1689" t="s">
        <v>679</v>
      </c>
      <c r="AC37" s="1771"/>
      <c r="AD37" s="1771"/>
      <c r="AE37" s="1771"/>
      <c r="AF37" s="1771"/>
      <c r="AG37" s="1771"/>
      <c r="AH37" s="1771"/>
      <c r="AI37" s="1690"/>
      <c r="AJ37" s="1689" t="s">
        <v>680</v>
      </c>
      <c r="AK37" s="1771"/>
      <c r="AL37" s="1771"/>
      <c r="AM37" s="1771"/>
      <c r="AN37" s="1771"/>
      <c r="AO37" s="1771"/>
      <c r="AP37" s="1771"/>
      <c r="AQ37" s="1690"/>
      <c r="AR37" s="1689" t="s">
        <v>681</v>
      </c>
      <c r="AS37" s="1771"/>
      <c r="AT37" s="1771"/>
      <c r="AU37" s="1771"/>
      <c r="AV37" s="1771"/>
      <c r="AW37" s="1771"/>
      <c r="AX37" s="1771"/>
      <c r="AY37" s="1690"/>
      <c r="AZ37" s="1689" t="s">
        <v>682</v>
      </c>
      <c r="BA37" s="1771"/>
      <c r="BB37" s="1771"/>
      <c r="BC37" s="1771"/>
      <c r="BD37" s="1771"/>
      <c r="BE37" s="1771"/>
      <c r="BF37" s="1771"/>
      <c r="BG37" s="1690"/>
      <c r="BH37" s="1689" t="s">
        <v>683</v>
      </c>
      <c r="BI37" s="1771"/>
      <c r="BJ37" s="1771"/>
      <c r="BK37" s="1771"/>
      <c r="BL37" s="1771"/>
      <c r="BM37" s="1771"/>
      <c r="BN37" s="1771"/>
      <c r="BO37" s="1690"/>
      <c r="BP37" s="1689" t="s">
        <v>684</v>
      </c>
      <c r="BQ37" s="1771"/>
      <c r="BR37" s="1771"/>
      <c r="BS37" s="1771"/>
      <c r="BT37" s="1771"/>
      <c r="BU37" s="1771"/>
      <c r="BV37" s="1771"/>
      <c r="BW37" s="1690"/>
      <c r="BX37" s="1689" t="s">
        <v>685</v>
      </c>
      <c r="BY37" s="1771"/>
      <c r="BZ37" s="1771"/>
      <c r="CA37" s="1771"/>
      <c r="CB37" s="1771"/>
      <c r="CC37" s="1771"/>
      <c r="CD37" s="1771"/>
      <c r="CE37" s="1690"/>
      <c r="CF37" s="1689" t="s">
        <v>686</v>
      </c>
      <c r="CG37" s="1771"/>
      <c r="CH37" s="1771"/>
      <c r="CI37" s="1771"/>
      <c r="CJ37" s="1771"/>
      <c r="CK37" s="1771"/>
      <c r="CL37" s="1771"/>
      <c r="CM37" s="1690"/>
      <c r="CN37" s="1689" t="s">
        <v>687</v>
      </c>
      <c r="CO37" s="1771"/>
      <c r="CP37" s="1771"/>
      <c r="CQ37" s="1771"/>
      <c r="CR37" s="1771"/>
      <c r="CS37" s="1771"/>
      <c r="CT37" s="1771"/>
      <c r="CU37" s="1690"/>
      <c r="CV37" s="1689" t="s">
        <v>688</v>
      </c>
      <c r="CW37" s="1771"/>
      <c r="CX37" s="1771"/>
      <c r="CY37" s="1771"/>
      <c r="CZ37" s="1771"/>
      <c r="DA37" s="1771"/>
      <c r="DB37" s="1771"/>
      <c r="DC37" s="1690"/>
      <c r="DD37" s="1689" t="s">
        <v>689</v>
      </c>
      <c r="DE37" s="1771"/>
      <c r="DF37" s="1771"/>
      <c r="DG37" s="1771"/>
      <c r="DH37" s="1771"/>
      <c r="DI37" s="1771"/>
      <c r="DJ37" s="1771"/>
      <c r="DK37" s="1690"/>
      <c r="DL37" s="1689" t="s">
        <v>690</v>
      </c>
      <c r="DM37" s="1771"/>
      <c r="DN37" s="1771"/>
      <c r="DO37" s="1771"/>
      <c r="DP37" s="1771"/>
      <c r="DQ37" s="1771"/>
      <c r="DR37" s="1771"/>
      <c r="DS37" s="1690"/>
      <c r="DT37" s="1689" t="s">
        <v>726</v>
      </c>
      <c r="DU37" s="1771"/>
      <c r="DV37" s="1771"/>
      <c r="DW37" s="1771"/>
      <c r="DX37" s="1771"/>
      <c r="DY37" s="1771"/>
      <c r="DZ37" s="1771"/>
      <c r="EA37" s="1690"/>
      <c r="EB37" s="1689" t="s">
        <v>752</v>
      </c>
      <c r="EC37" s="1771"/>
      <c r="ED37" s="1771"/>
      <c r="EE37" s="1771"/>
      <c r="EF37" s="1771"/>
      <c r="EG37" s="1771"/>
      <c r="EH37" s="1771"/>
      <c r="EI37" s="1690"/>
      <c r="EJ37" s="1689" t="s">
        <v>691</v>
      </c>
      <c r="EK37" s="1771"/>
      <c r="EL37" s="1771"/>
      <c r="EM37" s="1771"/>
      <c r="EN37" s="1771"/>
      <c r="EO37" s="1771"/>
      <c r="EP37" s="1771"/>
      <c r="EQ37" s="1690"/>
      <c r="ER37" s="1689" t="s">
        <v>692</v>
      </c>
      <c r="ES37" s="1771"/>
      <c r="ET37" s="1771"/>
      <c r="EU37" s="1771"/>
      <c r="EV37" s="1771"/>
      <c r="EW37" s="1771"/>
      <c r="EX37" s="1771"/>
      <c r="EY37" s="1690"/>
      <c r="EZ37" s="1689" t="s">
        <v>693</v>
      </c>
      <c r="FA37" s="1771"/>
      <c r="FB37" s="1771"/>
      <c r="FC37" s="1771"/>
      <c r="FD37" s="1771"/>
      <c r="FE37" s="1771"/>
      <c r="FF37" s="1771"/>
      <c r="FG37" s="1690"/>
      <c r="FH37" s="1689" t="s">
        <v>694</v>
      </c>
      <c r="FI37" s="1771"/>
      <c r="FJ37" s="1771"/>
      <c r="FK37" s="1771"/>
      <c r="FL37" s="1771"/>
      <c r="FM37" s="1771"/>
      <c r="FN37" s="1771"/>
      <c r="FO37" s="1690"/>
      <c r="FP37" s="1689" t="s">
        <v>773</v>
      </c>
      <c r="FQ37" s="1771"/>
      <c r="FR37" s="1771"/>
      <c r="FS37" s="1771"/>
      <c r="FT37" s="1771"/>
      <c r="FU37" s="1771"/>
      <c r="FV37" s="1771"/>
      <c r="FW37" s="1690"/>
      <c r="FX37" s="1689" t="s">
        <v>695</v>
      </c>
      <c r="FY37" s="1771"/>
      <c r="FZ37" s="1771"/>
      <c r="GA37" s="1771"/>
      <c r="GB37" s="1771"/>
      <c r="GC37" s="1771"/>
      <c r="GD37" s="1771"/>
      <c r="GE37" s="1690"/>
      <c r="GF37" s="1689" t="s">
        <v>673</v>
      </c>
      <c r="GG37" s="1771"/>
      <c r="GH37" s="1771"/>
      <c r="GI37" s="1771"/>
      <c r="GJ37" s="1771"/>
      <c r="GK37" s="1771"/>
      <c r="GL37" s="1771"/>
      <c r="GM37" s="1690"/>
      <c r="GN37" s="1689" t="s">
        <v>677</v>
      </c>
      <c r="GO37" s="1771"/>
      <c r="GP37" s="1771"/>
      <c r="GQ37" s="1771"/>
      <c r="GR37" s="1771"/>
      <c r="GS37" s="1771"/>
      <c r="GT37" s="1771"/>
      <c r="GU37" s="1690"/>
      <c r="GV37" s="1689" t="s">
        <v>674</v>
      </c>
      <c r="GW37" s="1771"/>
      <c r="GX37" s="1771"/>
      <c r="GY37" s="1771"/>
      <c r="GZ37" s="1771"/>
      <c r="HA37" s="1771"/>
      <c r="HB37" s="1771"/>
      <c r="HC37" s="1690"/>
      <c r="HD37" s="1689" t="s">
        <v>675</v>
      </c>
      <c r="HE37" s="1771"/>
      <c r="HF37" s="1771"/>
      <c r="HG37" s="1771"/>
      <c r="HH37" s="1771"/>
      <c r="HI37" s="1771"/>
      <c r="HJ37" s="1771"/>
      <c r="HK37" s="1690"/>
      <c r="HL37" s="1772" t="s">
        <v>676</v>
      </c>
      <c r="HM37" s="1772"/>
      <c r="HN37" s="1772"/>
      <c r="HO37" s="1772"/>
      <c r="HP37" s="1772"/>
      <c r="HQ37" s="1772"/>
      <c r="HR37" s="1772"/>
      <c r="HS37" s="1772"/>
    </row>
    <row r="38" spans="1:227" s="1027" customFormat="1" ht="24.6" x14ac:dyDescent="0.4">
      <c r="B38" s="1453" t="s">
        <v>791</v>
      </c>
      <c r="C38" s="1454" t="s">
        <v>68</v>
      </c>
      <c r="D38" s="1452">
        <f>D28-L28</f>
        <v>493746471.11999995</v>
      </c>
      <c r="E38" s="1452">
        <f t="shared" ref="E38:K38" si="148">E28-M28</f>
        <v>349238776.25999999</v>
      </c>
      <c r="F38" s="1452">
        <f t="shared" si="148"/>
        <v>88404088.039999992</v>
      </c>
      <c r="G38" s="1452">
        <f t="shared" si="148"/>
        <v>56103606.820000008</v>
      </c>
      <c r="H38" s="1452">
        <f t="shared" si="148"/>
        <v>245664486.06999993</v>
      </c>
      <c r="I38" s="1452">
        <f t="shared" si="148"/>
        <v>168567778.94</v>
      </c>
      <c r="J38" s="1452">
        <f t="shared" si="148"/>
        <v>44546227.059999987</v>
      </c>
      <c r="K38" s="1452">
        <f t="shared" si="148"/>
        <v>32550480.07</v>
      </c>
    </row>
    <row r="39" spans="1:227" ht="17.399999999999999" x14ac:dyDescent="0.3">
      <c r="C39" s="1454" t="s">
        <v>137</v>
      </c>
      <c r="D39" s="1452">
        <f>D32-L32</f>
        <v>911678879.79999995</v>
      </c>
      <c r="E39" s="1452">
        <f t="shared" ref="E39:K39" si="149">E32-M32</f>
        <v>911673679.79999995</v>
      </c>
      <c r="F39" s="1452">
        <f t="shared" si="149"/>
        <v>0</v>
      </c>
      <c r="G39" s="1452">
        <f t="shared" si="149"/>
        <v>0</v>
      </c>
      <c r="H39" s="1452">
        <f t="shared" si="149"/>
        <v>171902094.18000001</v>
      </c>
      <c r="I39" s="1452">
        <f t="shared" si="149"/>
        <v>171902094.18000001</v>
      </c>
      <c r="J39" s="1452">
        <f t="shared" si="149"/>
        <v>0</v>
      </c>
      <c r="K39" s="1452">
        <f t="shared" si="149"/>
        <v>0</v>
      </c>
    </row>
    <row r="40" spans="1:227" ht="17.399999999999999" x14ac:dyDescent="0.3">
      <c r="C40" s="1454" t="s">
        <v>16</v>
      </c>
      <c r="D40" s="1452">
        <f t="shared" ref="D40:K40" si="150">D35-L35</f>
        <v>1405425350.9200001</v>
      </c>
      <c r="E40" s="1452">
        <f t="shared" si="150"/>
        <v>1260912456.0599999</v>
      </c>
      <c r="F40" s="1452">
        <f t="shared" si="150"/>
        <v>88404088.039999992</v>
      </c>
      <c r="G40" s="1452">
        <f t="shared" si="150"/>
        <v>56103606.820000008</v>
      </c>
      <c r="H40" s="1452">
        <f t="shared" si="150"/>
        <v>417566580.24999988</v>
      </c>
      <c r="I40" s="1452">
        <f t="shared" si="150"/>
        <v>340469873.11999995</v>
      </c>
      <c r="J40" s="1452">
        <f t="shared" si="150"/>
        <v>44546227.059999987</v>
      </c>
      <c r="K40" s="1452">
        <f t="shared" si="150"/>
        <v>32550480.07</v>
      </c>
    </row>
  </sheetData>
  <sheetProtection sheet="1" objects="1" scenarios="1"/>
  <mergeCells count="73">
    <mergeCell ref="CV37:DC37"/>
    <mergeCell ref="L37:S37"/>
    <mergeCell ref="T37:AA37"/>
    <mergeCell ref="AB37:AI37"/>
    <mergeCell ref="AJ37:AQ37"/>
    <mergeCell ref="AR37:AY37"/>
    <mergeCell ref="AZ37:BG37"/>
    <mergeCell ref="BH37:BO37"/>
    <mergeCell ref="BP37:BW37"/>
    <mergeCell ref="BX37:CE37"/>
    <mergeCell ref="CF37:CM37"/>
    <mergeCell ref="CN37:CU37"/>
    <mergeCell ref="D6:HS6"/>
    <mergeCell ref="A6:A8"/>
    <mergeCell ref="L7:S8"/>
    <mergeCell ref="I7:I9"/>
    <mergeCell ref="J7:J9"/>
    <mergeCell ref="K7:K9"/>
    <mergeCell ref="EB7:EY7"/>
    <mergeCell ref="ER8:EY8"/>
    <mergeCell ref="EJ8:EQ8"/>
    <mergeCell ref="EB8:EI8"/>
    <mergeCell ref="E7:E9"/>
    <mergeCell ref="F7:F9"/>
    <mergeCell ref="G7:G9"/>
    <mergeCell ref="T8:AA8"/>
    <mergeCell ref="T7:AI7"/>
    <mergeCell ref="AB8:AI8"/>
    <mergeCell ref="HL37:HS37"/>
    <mergeCell ref="HD37:HK37"/>
    <mergeCell ref="HD8:HK8"/>
    <mergeCell ref="GV8:HC8"/>
    <mergeCell ref="GV37:HC37"/>
    <mergeCell ref="GN37:GU37"/>
    <mergeCell ref="GN8:GU8"/>
    <mergeCell ref="GF37:GM37"/>
    <mergeCell ref="FX37:GE37"/>
    <mergeCell ref="FP37:FW37"/>
    <mergeCell ref="FH37:FO37"/>
    <mergeCell ref="EZ37:FG37"/>
    <mergeCell ref="DD37:DK37"/>
    <mergeCell ref="DL37:DS37"/>
    <mergeCell ref="GF8:GM8"/>
    <mergeCell ref="FX8:GE8"/>
    <mergeCell ref="FP8:FW8"/>
    <mergeCell ref="FH8:FO8"/>
    <mergeCell ref="EZ8:FG8"/>
    <mergeCell ref="DL8:DS8"/>
    <mergeCell ref="DT8:EA8"/>
    <mergeCell ref="DT37:EA37"/>
    <mergeCell ref="ER37:EY37"/>
    <mergeCell ref="EJ37:EQ37"/>
    <mergeCell ref="EB37:EI37"/>
    <mergeCell ref="DD8:DK8"/>
    <mergeCell ref="BP7:BW8"/>
    <mergeCell ref="BX7:CE8"/>
    <mergeCell ref="BH7:BO8"/>
    <mergeCell ref="GN7:HS7"/>
    <mergeCell ref="GF7:GM7"/>
    <mergeCell ref="FX7:GE7"/>
    <mergeCell ref="EZ7:FW7"/>
    <mergeCell ref="HL8:HS8"/>
    <mergeCell ref="DL7:EA7"/>
    <mergeCell ref="CF8:CM8"/>
    <mergeCell ref="CN8:CU8"/>
    <mergeCell ref="CV8:DC8"/>
    <mergeCell ref="CF7:DK7"/>
    <mergeCell ref="AJ7:AQ8"/>
    <mergeCell ref="AR8:AY8"/>
    <mergeCell ref="AR7:BG7"/>
    <mergeCell ref="AZ8:BG8"/>
    <mergeCell ref="D7:D9"/>
    <mergeCell ref="H7:H9"/>
  </mergeCells>
  <pageMargins left="0.78740157480314965" right="0.39370078740157483" top="0.78740157480314965" bottom="0.78740157480314965" header="0.51181102362204722" footer="0.51181102362204722"/>
  <pageSetup paperSize="9" scale="30" fitToWidth="50" orientation="landscape" r:id="rId1"/>
  <headerFooter alignWithMargins="0">
    <oddFooter>&amp;L&amp;P&amp;R&amp;Z&amp;F&amp;A</oddFooter>
  </headerFooter>
  <colBreaks count="13" manualBreakCount="13">
    <brk id="19" max="39" man="1"/>
    <brk id="35" max="39" man="1"/>
    <brk id="51" max="39" man="1"/>
    <brk id="67" max="39" man="1"/>
    <brk id="83" max="39" man="1"/>
    <brk id="99" max="39" man="1"/>
    <brk id="115" max="39" man="1"/>
    <brk id="131" max="39" man="1"/>
    <brk id="147" max="39" man="1"/>
    <brk id="163" max="39" man="1"/>
    <brk id="179" max="39" man="1"/>
    <brk id="195" max="39" man="1"/>
    <brk id="211"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BM47"/>
  <sheetViews>
    <sheetView topLeftCell="A2" zoomScale="60" zoomScaleNormal="60" zoomScaleSheetLayoutView="50" workbookViewId="0">
      <pane xSplit="1" ySplit="6" topLeftCell="B8" activePane="bottomRight" state="frozen"/>
      <selection activeCell="D27" sqref="D27"/>
      <selection pane="topRight" activeCell="D27" sqref="D27"/>
      <selection pane="bottomLeft" activeCell="D27" sqref="D27"/>
      <selection pane="bottomRight" activeCell="J49" sqref="J49"/>
    </sheetView>
  </sheetViews>
  <sheetFormatPr defaultColWidth="9.21875" defaultRowHeight="15" x14ac:dyDescent="0.25"/>
  <cols>
    <col min="1" max="1" width="25.21875" style="409" customWidth="1"/>
    <col min="2" max="2" width="24.21875" style="409" customWidth="1"/>
    <col min="3" max="3" width="23.21875" style="409" customWidth="1"/>
    <col min="4" max="5" width="21.5546875" style="409" customWidth="1"/>
    <col min="6" max="7" width="23.5546875" style="409" customWidth="1"/>
    <col min="8" max="15" width="22" style="409" customWidth="1"/>
    <col min="16" max="17" width="22.21875" style="409" customWidth="1"/>
    <col min="18" max="19" width="29.21875" style="409" customWidth="1"/>
    <col min="20" max="21" width="22.77734375" style="409" customWidth="1"/>
    <col min="22" max="23" width="25.21875" style="409" customWidth="1"/>
    <col min="24" max="25" width="24.5546875" style="409" customWidth="1"/>
    <col min="26" max="27" width="22.21875" style="409" customWidth="1"/>
    <col min="28" max="29" width="29.77734375" style="409" customWidth="1"/>
    <col min="30" max="31" width="22.77734375" style="409" customWidth="1"/>
    <col min="32" max="32" width="23.21875" style="409" customWidth="1"/>
    <col min="33" max="37" width="22.5546875" style="409" customWidth="1"/>
    <col min="38" max="39" width="27" style="409" customWidth="1"/>
    <col min="40" max="40" width="21.21875" style="409" customWidth="1"/>
    <col min="41" max="43" width="20.77734375" style="409" customWidth="1"/>
    <col min="44" max="55" width="23.21875" style="409" customWidth="1"/>
    <col min="56" max="59" width="21.44140625" style="409" customWidth="1"/>
    <col min="60" max="60" width="21.21875" style="409" customWidth="1"/>
    <col min="61" max="61" width="20.5546875" style="409" customWidth="1"/>
    <col min="62" max="62" width="22" style="409" customWidth="1"/>
    <col min="63" max="63" width="22.77734375" style="409" customWidth="1"/>
    <col min="64" max="65" width="23.77734375" style="409" customWidth="1"/>
    <col min="66" max="16384" width="9.21875" style="409"/>
  </cols>
  <sheetData>
    <row r="2" spans="1:65" ht="17.399999999999999" x14ac:dyDescent="0.3">
      <c r="C2" s="407"/>
      <c r="D2" s="450" t="s">
        <v>24</v>
      </c>
      <c r="I2" s="1035" t="str">
        <f>'Прочая  субсидия_БП'!G2</f>
        <v>ПО  СОСТОЯНИЮ  НА  1  ОКТЯБРЯ  2019  ГОДА</v>
      </c>
    </row>
    <row r="3" spans="1:65" ht="15.6" x14ac:dyDescent="0.3">
      <c r="B3" s="408"/>
      <c r="C3" s="408"/>
      <c r="D3" s="408"/>
      <c r="E3" s="408"/>
      <c r="F3" s="408"/>
      <c r="G3" s="408"/>
    </row>
    <row r="4" spans="1:65" ht="15.6" x14ac:dyDescent="0.3">
      <c r="BL4" s="414" t="s">
        <v>0</v>
      </c>
    </row>
    <row r="5" spans="1:65" s="415" customFormat="1" ht="301.5" customHeight="1" x14ac:dyDescent="0.25">
      <c r="A5" s="1625" t="s">
        <v>13</v>
      </c>
      <c r="B5" s="1629" t="s">
        <v>1</v>
      </c>
      <c r="C5" s="1629"/>
      <c r="D5" s="1629" t="s">
        <v>638</v>
      </c>
      <c r="E5" s="1629"/>
      <c r="F5" s="1629" t="s">
        <v>731</v>
      </c>
      <c r="G5" s="1629"/>
      <c r="H5" s="1629" t="s">
        <v>251</v>
      </c>
      <c r="I5" s="1629"/>
      <c r="J5" s="1615" t="s">
        <v>866</v>
      </c>
      <c r="K5" s="1616"/>
      <c r="L5" s="1629" t="s">
        <v>335</v>
      </c>
      <c r="M5" s="1629"/>
      <c r="N5" s="1629" t="s">
        <v>526</v>
      </c>
      <c r="O5" s="1629"/>
      <c r="P5" s="1615" t="s">
        <v>576</v>
      </c>
      <c r="Q5" s="1616"/>
      <c r="R5" s="1615" t="s">
        <v>572</v>
      </c>
      <c r="S5" s="1616"/>
      <c r="T5" s="1615" t="s">
        <v>573</v>
      </c>
      <c r="U5" s="1616"/>
      <c r="V5" s="1615" t="s">
        <v>574</v>
      </c>
      <c r="W5" s="1616"/>
      <c r="X5" s="1623" t="s">
        <v>663</v>
      </c>
      <c r="Y5" s="1624"/>
      <c r="Z5" s="1623" t="s">
        <v>249</v>
      </c>
      <c r="AA5" s="1624"/>
      <c r="AB5" s="1623" t="s">
        <v>632</v>
      </c>
      <c r="AC5" s="1624"/>
      <c r="AD5" s="1615" t="s">
        <v>252</v>
      </c>
      <c r="AE5" s="1616"/>
      <c r="AF5" s="1615" t="s">
        <v>250</v>
      </c>
      <c r="AG5" s="1616"/>
      <c r="AH5" s="1615" t="s">
        <v>283</v>
      </c>
      <c r="AI5" s="1616"/>
      <c r="AJ5" s="1615" t="s">
        <v>393</v>
      </c>
      <c r="AK5" s="1616"/>
      <c r="AL5" s="1615" t="s">
        <v>561</v>
      </c>
      <c r="AM5" s="1616"/>
      <c r="AN5" s="1615" t="s">
        <v>560</v>
      </c>
      <c r="AO5" s="1616"/>
      <c r="AP5" s="1615" t="s">
        <v>419</v>
      </c>
      <c r="AQ5" s="1616"/>
      <c r="AR5" s="1615" t="s">
        <v>417</v>
      </c>
      <c r="AS5" s="1616"/>
      <c r="AT5" s="1615" t="s">
        <v>332</v>
      </c>
      <c r="AU5" s="1616"/>
      <c r="AV5" s="1615" t="s">
        <v>420</v>
      </c>
      <c r="AW5" s="1616"/>
      <c r="AX5" s="1615" t="s">
        <v>619</v>
      </c>
      <c r="AY5" s="1616"/>
      <c r="AZ5" s="1615" t="s">
        <v>559</v>
      </c>
      <c r="BA5" s="1616"/>
      <c r="BB5" s="1615" t="s">
        <v>297</v>
      </c>
      <c r="BC5" s="1616"/>
      <c r="BD5" s="1615" t="s">
        <v>298</v>
      </c>
      <c r="BE5" s="1616"/>
      <c r="BF5" s="1615" t="s">
        <v>399</v>
      </c>
      <c r="BG5" s="1616"/>
      <c r="BH5" s="1615" t="s">
        <v>339</v>
      </c>
      <c r="BI5" s="1616"/>
      <c r="BJ5" s="1619" t="s">
        <v>341</v>
      </c>
      <c r="BK5" s="1619"/>
      <c r="BL5" s="1619" t="s">
        <v>548</v>
      </c>
      <c r="BM5" s="1619"/>
    </row>
    <row r="6" spans="1:65" ht="18" customHeight="1" x14ac:dyDescent="0.25">
      <c r="A6" s="1626"/>
      <c r="B6" s="1629"/>
      <c r="C6" s="1629"/>
      <c r="D6" s="1628" t="s">
        <v>639</v>
      </c>
      <c r="E6" s="1628"/>
      <c r="F6" s="1628" t="s">
        <v>729</v>
      </c>
      <c r="G6" s="1628"/>
      <c r="H6" s="1621" t="s">
        <v>224</v>
      </c>
      <c r="I6" s="1628"/>
      <c r="J6" s="1620" t="s">
        <v>865</v>
      </c>
      <c r="K6" s="1622"/>
      <c r="L6" s="1621" t="s">
        <v>334</v>
      </c>
      <c r="M6" s="1628"/>
      <c r="N6" s="1621" t="s">
        <v>377</v>
      </c>
      <c r="O6" s="1628"/>
      <c r="P6" s="1620" t="s">
        <v>575</v>
      </c>
      <c r="Q6" s="1618"/>
      <c r="R6" s="1620" t="s">
        <v>246</v>
      </c>
      <c r="S6" s="1622"/>
      <c r="T6" s="1620" t="s">
        <v>248</v>
      </c>
      <c r="U6" s="1622"/>
      <c r="V6" s="1620" t="s">
        <v>337</v>
      </c>
      <c r="W6" s="1622"/>
      <c r="X6" s="1620" t="s">
        <v>664</v>
      </c>
      <c r="Y6" s="1618"/>
      <c r="Z6" s="1620" t="s">
        <v>226</v>
      </c>
      <c r="AA6" s="1622"/>
      <c r="AB6" s="1620" t="s">
        <v>631</v>
      </c>
      <c r="AC6" s="1618"/>
      <c r="AD6" s="1620" t="s">
        <v>245</v>
      </c>
      <c r="AE6" s="1618"/>
      <c r="AF6" s="1617" t="s">
        <v>243</v>
      </c>
      <c r="AG6" s="1618"/>
      <c r="AH6" s="1620" t="s">
        <v>225</v>
      </c>
      <c r="AI6" s="1618"/>
      <c r="AJ6" s="1620" t="s">
        <v>392</v>
      </c>
      <c r="AK6" s="1618"/>
      <c r="AL6" s="1617" t="s">
        <v>222</v>
      </c>
      <c r="AM6" s="1618"/>
      <c r="AN6" s="1617" t="s">
        <v>223</v>
      </c>
      <c r="AO6" s="1618"/>
      <c r="AP6" s="1620" t="s">
        <v>418</v>
      </c>
      <c r="AQ6" s="1618"/>
      <c r="AR6" s="1617" t="s">
        <v>221</v>
      </c>
      <c r="AS6" s="1618"/>
      <c r="AT6" s="1617" t="s">
        <v>331</v>
      </c>
      <c r="AU6" s="1618"/>
      <c r="AV6" s="1617" t="s">
        <v>394</v>
      </c>
      <c r="AW6" s="1618"/>
      <c r="AX6" s="1620" t="s">
        <v>416</v>
      </c>
      <c r="AY6" s="1618"/>
      <c r="AZ6" s="1620" t="s">
        <v>558</v>
      </c>
      <c r="BA6" s="1618"/>
      <c r="BB6" s="1617" t="s">
        <v>233</v>
      </c>
      <c r="BC6" s="1618"/>
      <c r="BD6" s="1617" t="s">
        <v>241</v>
      </c>
      <c r="BE6" s="1618"/>
      <c r="BF6" s="1620" t="s">
        <v>398</v>
      </c>
      <c r="BG6" s="1618"/>
      <c r="BH6" s="1621" t="s">
        <v>338</v>
      </c>
      <c r="BI6" s="1621"/>
      <c r="BJ6" s="1620" t="s">
        <v>340</v>
      </c>
      <c r="BK6" s="1618"/>
      <c r="BL6" s="1620" t="s">
        <v>547</v>
      </c>
      <c r="BM6" s="1618"/>
    </row>
    <row r="7" spans="1:65" s="417" customFormat="1" ht="18" customHeight="1" x14ac:dyDescent="0.25">
      <c r="A7" s="1627"/>
      <c r="B7" s="416" t="s">
        <v>171</v>
      </c>
      <c r="C7" s="416" t="s">
        <v>172</v>
      </c>
      <c r="D7" s="416" t="s">
        <v>171</v>
      </c>
      <c r="E7" s="416" t="s">
        <v>172</v>
      </c>
      <c r="F7" s="416" t="s">
        <v>171</v>
      </c>
      <c r="G7" s="416" t="s">
        <v>172</v>
      </c>
      <c r="H7" s="416" t="s">
        <v>171</v>
      </c>
      <c r="I7" s="416" t="s">
        <v>172</v>
      </c>
      <c r="J7" s="416" t="s">
        <v>171</v>
      </c>
      <c r="K7" s="416" t="s">
        <v>172</v>
      </c>
      <c r="L7" s="416" t="s">
        <v>171</v>
      </c>
      <c r="M7" s="416" t="s">
        <v>172</v>
      </c>
      <c r="N7" s="416" t="s">
        <v>171</v>
      </c>
      <c r="O7" s="416" t="s">
        <v>172</v>
      </c>
      <c r="P7" s="416" t="s">
        <v>171</v>
      </c>
      <c r="Q7" s="416" t="s">
        <v>172</v>
      </c>
      <c r="R7" s="416" t="s">
        <v>171</v>
      </c>
      <c r="S7" s="416" t="s">
        <v>172</v>
      </c>
      <c r="T7" s="416" t="s">
        <v>171</v>
      </c>
      <c r="U7" s="416" t="s">
        <v>172</v>
      </c>
      <c r="V7" s="416" t="s">
        <v>171</v>
      </c>
      <c r="W7" s="416" t="s">
        <v>172</v>
      </c>
      <c r="X7" s="416" t="s">
        <v>171</v>
      </c>
      <c r="Y7" s="416" t="s">
        <v>172</v>
      </c>
      <c r="Z7" s="416" t="s">
        <v>171</v>
      </c>
      <c r="AA7" s="416" t="s">
        <v>172</v>
      </c>
      <c r="AB7" s="416" t="s">
        <v>171</v>
      </c>
      <c r="AC7" s="416" t="s">
        <v>172</v>
      </c>
      <c r="AD7" s="416" t="s">
        <v>171</v>
      </c>
      <c r="AE7" s="416" t="s">
        <v>172</v>
      </c>
      <c r="AF7" s="416" t="s">
        <v>171</v>
      </c>
      <c r="AG7" s="416" t="s">
        <v>172</v>
      </c>
      <c r="AH7" s="416" t="s">
        <v>171</v>
      </c>
      <c r="AI7" s="416" t="s">
        <v>172</v>
      </c>
      <c r="AJ7" s="416" t="s">
        <v>171</v>
      </c>
      <c r="AK7" s="416" t="s">
        <v>172</v>
      </c>
      <c r="AL7" s="416" t="s">
        <v>171</v>
      </c>
      <c r="AM7" s="416" t="s">
        <v>172</v>
      </c>
      <c r="AN7" s="416" t="s">
        <v>171</v>
      </c>
      <c r="AO7" s="416" t="s">
        <v>172</v>
      </c>
      <c r="AP7" s="416" t="s">
        <v>171</v>
      </c>
      <c r="AQ7" s="416" t="s">
        <v>172</v>
      </c>
      <c r="AR7" s="416" t="s">
        <v>171</v>
      </c>
      <c r="AS7" s="416" t="s">
        <v>172</v>
      </c>
      <c r="AT7" s="416" t="s">
        <v>171</v>
      </c>
      <c r="AU7" s="416" t="s">
        <v>172</v>
      </c>
      <c r="AV7" s="416" t="s">
        <v>171</v>
      </c>
      <c r="AW7" s="416" t="s">
        <v>172</v>
      </c>
      <c r="AX7" s="416" t="s">
        <v>171</v>
      </c>
      <c r="AY7" s="416" t="s">
        <v>172</v>
      </c>
      <c r="AZ7" s="416" t="s">
        <v>171</v>
      </c>
      <c r="BA7" s="416" t="s">
        <v>172</v>
      </c>
      <c r="BB7" s="416" t="s">
        <v>171</v>
      </c>
      <c r="BC7" s="416" t="s">
        <v>172</v>
      </c>
      <c r="BD7" s="416" t="s">
        <v>171</v>
      </c>
      <c r="BE7" s="416" t="s">
        <v>172</v>
      </c>
      <c r="BF7" s="416" t="s">
        <v>171</v>
      </c>
      <c r="BG7" s="416" t="s">
        <v>172</v>
      </c>
      <c r="BH7" s="416" t="s">
        <v>171</v>
      </c>
      <c r="BI7" s="416" t="s">
        <v>172</v>
      </c>
      <c r="BJ7" s="416" t="s">
        <v>171</v>
      </c>
      <c r="BK7" s="416" t="s">
        <v>172</v>
      </c>
      <c r="BL7" s="416" t="s">
        <v>171</v>
      </c>
      <c r="BM7" s="416" t="s">
        <v>172</v>
      </c>
    </row>
    <row r="8" spans="1:65" s="1338" customFormat="1" ht="21" customHeight="1" x14ac:dyDescent="0.3">
      <c r="A8" s="1353" t="s">
        <v>88</v>
      </c>
      <c r="B8" s="1315">
        <f t="shared" ref="B8:B25" si="0">D8+H8+J8+P8+R8+T8+X8+Z8+BJ8+AF8+AL8+AN8+AR8+BD8+BH8+AD8+AH8+AT8+L8+V8+N8+AJ8+AV8+BF8+AX8+AP8+BL8+AZ8+AB8+F8+BB8</f>
        <v>11440154.17</v>
      </c>
      <c r="C8" s="1315">
        <f t="shared" ref="C8:C25" si="1">E8+I8+K8+Q8+S8+U8+Y8+AA8+BK8+AG8+AM8+AO8+AS8+BE8+BI8+AE8+AI8+AU8+M8+W8+O8+AK8+AW8+BG8+AY8+AQ8+BM8+BA8+AC8+G8+BC8</f>
        <v>11380435.449999999</v>
      </c>
      <c r="D8" s="1083">
        <f>[1]Субсидия_факт!AI10</f>
        <v>132000</v>
      </c>
      <c r="E8" s="1087">
        <f>D8</f>
        <v>132000</v>
      </c>
      <c r="F8" s="1083">
        <f>[1]Субсидия_факт!AK10</f>
        <v>0</v>
      </c>
      <c r="G8" s="1084"/>
      <c r="H8" s="1083">
        <f>[1]Субсидия_факт!AM10</f>
        <v>3351175.2</v>
      </c>
      <c r="I8" s="1084">
        <v>3351175.2</v>
      </c>
      <c r="J8" s="1083">
        <f>[1]Субсидия_факт!AO10</f>
        <v>44315.02</v>
      </c>
      <c r="K8" s="1087">
        <f t="shared" ref="K8:K25" si="2">J8</f>
        <v>44315.02</v>
      </c>
      <c r="L8" s="1083">
        <f>[1]Субсидия_факт!AQ10</f>
        <v>0</v>
      </c>
      <c r="M8" s="1084"/>
      <c r="N8" s="1083">
        <f>[1]Субсидия_факт!AS10</f>
        <v>0</v>
      </c>
      <c r="O8" s="1084"/>
      <c r="P8" s="1083">
        <f>[1]Субсидия_факт!CI10</f>
        <v>6174.65</v>
      </c>
      <c r="Q8" s="1087">
        <f>P8</f>
        <v>6174.65</v>
      </c>
      <c r="R8" s="1083">
        <f>[1]Субсидия_факт!EU10</f>
        <v>0</v>
      </c>
      <c r="S8" s="1087">
        <f>R8</f>
        <v>0</v>
      </c>
      <c r="T8" s="1083">
        <f>[1]Субсидия_факт!EW10</f>
        <v>0</v>
      </c>
      <c r="U8" s="1087">
        <f t="shared" ref="U8:U25" si="3">T8</f>
        <v>0</v>
      </c>
      <c r="V8" s="1083">
        <f>[1]Субсидия_факт!EY10</f>
        <v>52650</v>
      </c>
      <c r="W8" s="1087">
        <f>V8</f>
        <v>52650</v>
      </c>
      <c r="X8" s="1083">
        <f>[1]Субсидия_факт!FE10</f>
        <v>0</v>
      </c>
      <c r="Y8" s="1084"/>
      <c r="Z8" s="1083">
        <f>[1]Субсидия_факт!FM10</f>
        <v>0</v>
      </c>
      <c r="AA8" s="1084"/>
      <c r="AB8" s="1083">
        <f>[1]Субсидия_факт!GO10</f>
        <v>0</v>
      </c>
      <c r="AC8" s="1084"/>
      <c r="AD8" s="1083">
        <f>[1]Субсидия_факт!GU10</f>
        <v>0</v>
      </c>
      <c r="AE8" s="1084"/>
      <c r="AF8" s="1083"/>
      <c r="AG8" s="1084"/>
      <c r="AH8" s="1083">
        <f>[1]Субсидия_факт!IG10</f>
        <v>0</v>
      </c>
      <c r="AI8" s="1084"/>
      <c r="AJ8" s="1083">
        <f>[1]Субсидия_факт!IM10</f>
        <v>0</v>
      </c>
      <c r="AK8" s="1084"/>
      <c r="AL8" s="1083">
        <f>[1]Субсидия_факт!IS10</f>
        <v>0</v>
      </c>
      <c r="AM8" s="1087">
        <f>AL8</f>
        <v>0</v>
      </c>
      <c r="AN8" s="1083">
        <f>[1]Субсидия_факт!LK10</f>
        <v>329477.78000000003</v>
      </c>
      <c r="AO8" s="1087">
        <f>AN8</f>
        <v>329477.78000000003</v>
      </c>
      <c r="AP8" s="1083">
        <f>[1]Субсидия_факт!LY10</f>
        <v>0</v>
      </c>
      <c r="AQ8" s="1084"/>
      <c r="AR8" s="1083">
        <f>[1]Субсидия_факт!MQ10</f>
        <v>0</v>
      </c>
      <c r="AS8" s="1084"/>
      <c r="AT8" s="1083">
        <f>[1]Субсидия_факт!MW10</f>
        <v>0</v>
      </c>
      <c r="AU8" s="1084"/>
      <c r="AV8" s="1083">
        <f>[1]Субсидия_факт!MY10</f>
        <v>0</v>
      </c>
      <c r="AW8" s="1084"/>
      <c r="AX8" s="1083">
        <f>[1]Субсидия_факт!NA10</f>
        <v>3150000</v>
      </c>
      <c r="AY8" s="1087">
        <f>AX8</f>
        <v>3150000</v>
      </c>
      <c r="AZ8" s="1083">
        <f>[1]Субсидия_факт!NG10</f>
        <v>0</v>
      </c>
      <c r="BA8" s="1084"/>
      <c r="BB8" s="1087">
        <f>[1]Субсидия_факт!NI10</f>
        <v>0</v>
      </c>
      <c r="BC8" s="1084"/>
      <c r="BD8" s="1083">
        <f>[1]Субсидия_факт!NO10</f>
        <v>0</v>
      </c>
      <c r="BE8" s="1084"/>
      <c r="BF8" s="1083">
        <f>[1]Субсидия_факт!NU10</f>
        <v>4139200</v>
      </c>
      <c r="BG8" s="1084">
        <v>4079481.28</v>
      </c>
      <c r="BH8" s="1083">
        <f>[1]Субсидия_факт!OA10</f>
        <v>235161.52</v>
      </c>
      <c r="BI8" s="1087">
        <f>BH8</f>
        <v>235161.52</v>
      </c>
      <c r="BJ8" s="1337"/>
      <c r="BK8" s="1084"/>
      <c r="BL8" s="1337">
        <f>[1]Субсидия_факт!PQ10</f>
        <v>0</v>
      </c>
      <c r="BM8" s="1084"/>
    </row>
    <row r="9" spans="1:65" s="1339" customFormat="1" ht="21" customHeight="1" x14ac:dyDescent="0.3">
      <c r="A9" s="1353" t="s">
        <v>89</v>
      </c>
      <c r="B9" s="1315">
        <f t="shared" si="0"/>
        <v>19958756.09</v>
      </c>
      <c r="C9" s="1315">
        <f t="shared" si="1"/>
        <v>19664996.09</v>
      </c>
      <c r="D9" s="1083">
        <f>[1]Субсидия_факт!AI11</f>
        <v>220000</v>
      </c>
      <c r="E9" s="1087">
        <f t="shared" ref="E9:G25" si="4">D9</f>
        <v>220000</v>
      </c>
      <c r="F9" s="1083">
        <f>[1]Субсидия_факт!AK11</f>
        <v>0</v>
      </c>
      <c r="G9" s="1084"/>
      <c r="H9" s="1083">
        <f>[1]Субсидия_факт!AM11</f>
        <v>1603030.79</v>
      </c>
      <c r="I9" s="1084">
        <v>1603030.79</v>
      </c>
      <c r="J9" s="1083">
        <f>[1]Субсидия_факт!AO11</f>
        <v>100658.39</v>
      </c>
      <c r="K9" s="1087">
        <f t="shared" si="2"/>
        <v>100658.39</v>
      </c>
      <c r="L9" s="1083">
        <f>[1]Субсидия_факт!AQ11</f>
        <v>0</v>
      </c>
      <c r="M9" s="1084"/>
      <c r="N9" s="1083">
        <f>[1]Субсидия_факт!AS11</f>
        <v>0</v>
      </c>
      <c r="O9" s="1084"/>
      <c r="P9" s="1083">
        <f>[1]Субсидия_факт!CI11</f>
        <v>16883.75</v>
      </c>
      <c r="Q9" s="1087">
        <f t="shared" ref="Q9:Q25" si="5">P9</f>
        <v>16883.75</v>
      </c>
      <c r="R9" s="1083">
        <f>[1]Субсидия_факт!EU11</f>
        <v>222813.59</v>
      </c>
      <c r="S9" s="1087">
        <f t="shared" ref="S9:S25" si="6">R9</f>
        <v>222813.59</v>
      </c>
      <c r="T9" s="1083">
        <f>[1]Субсидия_факт!EW11</f>
        <v>0</v>
      </c>
      <c r="U9" s="1087">
        <f t="shared" si="3"/>
        <v>0</v>
      </c>
      <c r="V9" s="1083">
        <f>[1]Субсидия_факт!EY11</f>
        <v>136890</v>
      </c>
      <c r="W9" s="1087">
        <f t="shared" ref="W9:W25" si="7">V9</f>
        <v>136890</v>
      </c>
      <c r="X9" s="1083">
        <f>[1]Субсидия_факт!FE11</f>
        <v>0</v>
      </c>
      <c r="Y9" s="1084"/>
      <c r="Z9" s="1083">
        <f>[1]Субсидия_факт!FM11</f>
        <v>0</v>
      </c>
      <c r="AA9" s="1084"/>
      <c r="AB9" s="1083">
        <f>[1]Субсидия_факт!GO11</f>
        <v>0</v>
      </c>
      <c r="AC9" s="1084"/>
      <c r="AD9" s="1083">
        <f>[1]Субсидия_факт!GU11</f>
        <v>0</v>
      </c>
      <c r="AE9" s="1084"/>
      <c r="AF9" s="1083"/>
      <c r="AG9" s="1084"/>
      <c r="AH9" s="1083">
        <f>[1]Субсидия_факт!IG11</f>
        <v>0</v>
      </c>
      <c r="AI9" s="1084"/>
      <c r="AJ9" s="1083">
        <f>[1]Субсидия_факт!IM11</f>
        <v>0</v>
      </c>
      <c r="AK9" s="1084"/>
      <c r="AL9" s="1083">
        <f>[1]Субсидия_факт!IS11</f>
        <v>56349.46</v>
      </c>
      <c r="AM9" s="1087">
        <f t="shared" ref="AM9:AM25" si="8">AL9</f>
        <v>56349.46</v>
      </c>
      <c r="AN9" s="1083">
        <f>[1]Субсидия_факт!LK11</f>
        <v>621679.2300000001</v>
      </c>
      <c r="AO9" s="1087">
        <f t="shared" ref="AO9:AO25" si="9">AN9</f>
        <v>621679.2300000001</v>
      </c>
      <c r="AP9" s="1083">
        <f>[1]Субсидия_факт!LY11</f>
        <v>0</v>
      </c>
      <c r="AQ9" s="1084"/>
      <c r="AR9" s="1083">
        <f>[1]Субсидия_факт!MQ11</f>
        <v>0</v>
      </c>
      <c r="AS9" s="1084"/>
      <c r="AT9" s="1083">
        <f>[1]Субсидия_факт!MW11</f>
        <v>0</v>
      </c>
      <c r="AU9" s="1084"/>
      <c r="AV9" s="1083">
        <f>[1]Субсидия_факт!MY11</f>
        <v>0</v>
      </c>
      <c r="AW9" s="1084"/>
      <c r="AX9" s="1083">
        <f>[1]Субсидия_факт!NA11</f>
        <v>9450000</v>
      </c>
      <c r="AY9" s="1087">
        <f t="shared" ref="AY9:AY25" si="10">AX9</f>
        <v>9450000</v>
      </c>
      <c r="AZ9" s="1083">
        <f>[1]Субсидия_факт!NG11</f>
        <v>0</v>
      </c>
      <c r="BA9" s="1084"/>
      <c r="BB9" s="1087">
        <f>[1]Субсидия_факт!NI11</f>
        <v>0</v>
      </c>
      <c r="BC9" s="1084"/>
      <c r="BD9" s="1083">
        <f>[1]Субсидия_факт!NO11</f>
        <v>0</v>
      </c>
      <c r="BE9" s="1084"/>
      <c r="BF9" s="1083">
        <f>[1]Субсидия_факт!NU11</f>
        <v>7344000</v>
      </c>
      <c r="BG9" s="1084">
        <v>7050240</v>
      </c>
      <c r="BH9" s="1083">
        <f>[1]Субсидия_факт!OA11</f>
        <v>186450.88</v>
      </c>
      <c r="BI9" s="1087">
        <f t="shared" ref="BI9:BI25" si="11">BH9</f>
        <v>186450.88</v>
      </c>
      <c r="BJ9" s="1337"/>
      <c r="BK9" s="1084"/>
      <c r="BL9" s="1337">
        <f>[1]Субсидия_факт!PQ11</f>
        <v>0</v>
      </c>
      <c r="BM9" s="1084"/>
    </row>
    <row r="10" spans="1:65" s="1339" customFormat="1" ht="21" customHeight="1" x14ac:dyDescent="0.3">
      <c r="A10" s="1353" t="s">
        <v>90</v>
      </c>
      <c r="B10" s="1315">
        <f t="shared" si="0"/>
        <v>54119863.82</v>
      </c>
      <c r="C10" s="1315">
        <f t="shared" si="1"/>
        <v>39482603.740000002</v>
      </c>
      <c r="D10" s="1083">
        <f>[1]Субсидия_факт!AI12</f>
        <v>264000</v>
      </c>
      <c r="E10" s="1087">
        <f t="shared" si="4"/>
        <v>264000</v>
      </c>
      <c r="F10" s="1083">
        <f>[1]Субсидия_факт!AK12</f>
        <v>0</v>
      </c>
      <c r="G10" s="1084"/>
      <c r="H10" s="1083">
        <f>[1]Субсидия_факт!AM12</f>
        <v>3190600.88</v>
      </c>
      <c r="I10" s="1084">
        <v>3190600.88</v>
      </c>
      <c r="J10" s="1083">
        <f>[1]Субсидия_факт!AO12</f>
        <v>58242.59</v>
      </c>
      <c r="K10" s="1087">
        <f t="shared" si="2"/>
        <v>58242.59</v>
      </c>
      <c r="L10" s="1083">
        <f>[1]Субсидия_факт!AQ12</f>
        <v>0</v>
      </c>
      <c r="M10" s="1084"/>
      <c r="N10" s="1083">
        <f>[1]Субсидия_факт!AS12</f>
        <v>62825.599999999999</v>
      </c>
      <c r="O10" s="1084">
        <v>62825.599999999999</v>
      </c>
      <c r="P10" s="1083">
        <f>[1]Субсидия_факт!CI12</f>
        <v>4823.92</v>
      </c>
      <c r="Q10" s="1087">
        <f t="shared" si="5"/>
        <v>4823.92</v>
      </c>
      <c r="R10" s="1083">
        <f>[1]Субсидия_факт!EU12</f>
        <v>258101.41</v>
      </c>
      <c r="S10" s="1087">
        <f t="shared" si="6"/>
        <v>258101.41</v>
      </c>
      <c r="T10" s="1083">
        <f>[1]Субсидия_факт!EW12</f>
        <v>92906.91</v>
      </c>
      <c r="U10" s="1087">
        <f t="shared" si="3"/>
        <v>92906.91</v>
      </c>
      <c r="V10" s="1083">
        <f>[1]Субсидия_факт!EY12</f>
        <v>157950</v>
      </c>
      <c r="W10" s="1087">
        <f t="shared" si="7"/>
        <v>157950</v>
      </c>
      <c r="X10" s="1083">
        <f>[1]Субсидия_факт!FE12</f>
        <v>0</v>
      </c>
      <c r="Y10" s="1084"/>
      <c r="Z10" s="1083">
        <f>[1]Субсидия_факт!FM12</f>
        <v>30620192</v>
      </c>
      <c r="AA10" s="1084">
        <f>11619917+11842581</f>
        <v>23462498</v>
      </c>
      <c r="AB10" s="1083">
        <f>[1]Субсидия_факт!GO12</f>
        <v>0</v>
      </c>
      <c r="AC10" s="1084"/>
      <c r="AD10" s="1083">
        <f>[1]Субсидия_факт!GU12</f>
        <v>126954.68</v>
      </c>
      <c r="AE10" s="1084"/>
      <c r="AF10" s="1083"/>
      <c r="AG10" s="1084"/>
      <c r="AH10" s="1083">
        <f>[1]Субсидия_факт!IG12</f>
        <v>7323931.4000000004</v>
      </c>
      <c r="AI10" s="1087">
        <v>0</v>
      </c>
      <c r="AJ10" s="1083">
        <f>[1]Субсидия_факт!IM12</f>
        <v>0</v>
      </c>
      <c r="AK10" s="1084"/>
      <c r="AL10" s="1083">
        <f>[1]Субсидия_факт!IS12</f>
        <v>0</v>
      </c>
      <c r="AM10" s="1087">
        <f t="shared" si="8"/>
        <v>0</v>
      </c>
      <c r="AN10" s="1083">
        <f>[1]Субсидия_факт!LK12</f>
        <v>819248.66</v>
      </c>
      <c r="AO10" s="1087">
        <f t="shared" si="9"/>
        <v>819248.66</v>
      </c>
      <c r="AP10" s="1083">
        <f>[1]Субсидия_факт!LY12</f>
        <v>0</v>
      </c>
      <c r="AQ10" s="1084"/>
      <c r="AR10" s="1083">
        <f>[1]Субсидия_факт!MQ12</f>
        <v>0</v>
      </c>
      <c r="AS10" s="1084"/>
      <c r="AT10" s="1083">
        <f>[1]Субсидия_факт!MW12</f>
        <v>0</v>
      </c>
      <c r="AU10" s="1084"/>
      <c r="AV10" s="1083">
        <f>[1]Субсидия_факт!MY12</f>
        <v>0</v>
      </c>
      <c r="AW10" s="1084"/>
      <c r="AX10" s="1083">
        <f>[1]Субсидия_факт!NA12</f>
        <v>9675000</v>
      </c>
      <c r="AY10" s="1087">
        <f t="shared" si="10"/>
        <v>9675000</v>
      </c>
      <c r="AZ10" s="1083">
        <f>[1]Субсидия_факт!NG12</f>
        <v>0</v>
      </c>
      <c r="BA10" s="1084"/>
      <c r="BB10" s="1087">
        <f>[1]Субсидия_факт!NI12</f>
        <v>0</v>
      </c>
      <c r="BC10" s="1084"/>
      <c r="BD10" s="1083">
        <f>[1]Субсидия_факт!NO12</f>
        <v>0</v>
      </c>
      <c r="BE10" s="1084"/>
      <c r="BF10" s="1083">
        <f>[1]Субсидия_факт!NU12</f>
        <v>1120000</v>
      </c>
      <c r="BG10" s="1084">
        <v>1091320</v>
      </c>
      <c r="BH10" s="1083">
        <f>[1]Субсидия_факт!OA12</f>
        <v>345085.77</v>
      </c>
      <c r="BI10" s="1087">
        <f t="shared" si="11"/>
        <v>345085.77</v>
      </c>
      <c r="BJ10" s="1337"/>
      <c r="BK10" s="1084"/>
      <c r="BL10" s="1337">
        <f>[1]Субсидия_факт!PQ12</f>
        <v>0</v>
      </c>
      <c r="BM10" s="1084"/>
    </row>
    <row r="11" spans="1:65" s="1339" customFormat="1" ht="21" customHeight="1" x14ac:dyDescent="0.3">
      <c r="A11" s="1353" t="s">
        <v>91</v>
      </c>
      <c r="B11" s="1315">
        <f t="shared" si="0"/>
        <v>40621392.359999999</v>
      </c>
      <c r="C11" s="1315">
        <f t="shared" si="1"/>
        <v>40196093.57</v>
      </c>
      <c r="D11" s="1083">
        <f>[1]Субсидия_факт!AI13</f>
        <v>511000</v>
      </c>
      <c r="E11" s="1087">
        <f t="shared" si="4"/>
        <v>511000</v>
      </c>
      <c r="F11" s="1083">
        <f>[1]Субсидия_факт!AK13</f>
        <v>0</v>
      </c>
      <c r="G11" s="1084"/>
      <c r="H11" s="1083">
        <f>[1]Субсидия_факт!AM13</f>
        <v>7482163.8499999996</v>
      </c>
      <c r="I11" s="1084">
        <v>7482163.8499999996</v>
      </c>
      <c r="J11" s="1083">
        <f>[1]Субсидия_факт!AO13</f>
        <v>87996.96</v>
      </c>
      <c r="K11" s="1087">
        <f t="shared" si="2"/>
        <v>87996.96</v>
      </c>
      <c r="L11" s="1083">
        <f>[1]Субсидия_факт!AQ13</f>
        <v>0</v>
      </c>
      <c r="M11" s="1084"/>
      <c r="N11" s="1083">
        <f>[1]Субсидия_факт!AS13</f>
        <v>0</v>
      </c>
      <c r="O11" s="1084"/>
      <c r="P11" s="1083">
        <f>[1]Субсидия_факт!CI13</f>
        <v>7235.9</v>
      </c>
      <c r="Q11" s="1087">
        <f t="shared" si="5"/>
        <v>7235.9</v>
      </c>
      <c r="R11" s="1083">
        <f>[1]Субсидия_факт!EU13</f>
        <v>224401.53</v>
      </c>
      <c r="S11" s="1087">
        <f t="shared" si="6"/>
        <v>224401.53</v>
      </c>
      <c r="T11" s="1083">
        <f>[1]Субсидия_факт!EW13</f>
        <v>248592.66</v>
      </c>
      <c r="U11" s="1087">
        <f t="shared" si="3"/>
        <v>248592.66</v>
      </c>
      <c r="V11" s="1083">
        <f>[1]Субсидия_факт!EY13</f>
        <v>115830</v>
      </c>
      <c r="W11" s="1087">
        <f t="shared" si="7"/>
        <v>115830</v>
      </c>
      <c r="X11" s="1083">
        <f>[1]Субсидия_факт!FE13</f>
        <v>0</v>
      </c>
      <c r="Y11" s="1084"/>
      <c r="Z11" s="1083">
        <f>[1]Субсидия_факт!FM13</f>
        <v>16152489</v>
      </c>
      <c r="AA11" s="1084">
        <f>14419737+1719956.21</f>
        <v>16139693.210000001</v>
      </c>
      <c r="AB11" s="1083">
        <f>[1]Субсидия_факт!GO13</f>
        <v>0</v>
      </c>
      <c r="AC11" s="1084"/>
      <c r="AD11" s="1083">
        <f>[1]Субсидия_факт!GU13</f>
        <v>0</v>
      </c>
      <c r="AE11" s="1084"/>
      <c r="AF11" s="1083"/>
      <c r="AG11" s="1084"/>
      <c r="AH11" s="1083">
        <f>[1]Субсидия_факт!IG13</f>
        <v>0</v>
      </c>
      <c r="AI11" s="1084"/>
      <c r="AJ11" s="1083">
        <f>[1]Субсидия_факт!IM13</f>
        <v>0</v>
      </c>
      <c r="AK11" s="1084"/>
      <c r="AL11" s="1083">
        <f>[1]Субсидия_факт!IS13</f>
        <v>0</v>
      </c>
      <c r="AM11" s="1087">
        <f t="shared" si="8"/>
        <v>0</v>
      </c>
      <c r="AN11" s="1083">
        <f>[1]Субсидия_факт!LK13</f>
        <v>578036.03</v>
      </c>
      <c r="AO11" s="1087">
        <f t="shared" si="9"/>
        <v>578036.03</v>
      </c>
      <c r="AP11" s="1083">
        <f>[1]Субсидия_факт!LY13</f>
        <v>0</v>
      </c>
      <c r="AQ11" s="1084"/>
      <c r="AR11" s="1083">
        <f>[1]Субсидия_факт!MQ13</f>
        <v>0</v>
      </c>
      <c r="AS11" s="1084"/>
      <c r="AT11" s="1083">
        <f>[1]Субсидия_факт!MW13</f>
        <v>0</v>
      </c>
      <c r="AU11" s="1084"/>
      <c r="AV11" s="1083">
        <f>[1]Субсидия_факт!MY13</f>
        <v>0</v>
      </c>
      <c r="AW11" s="1084"/>
      <c r="AX11" s="1083">
        <f>[1]Субсидия_факт!NA13</f>
        <v>9450000</v>
      </c>
      <c r="AY11" s="1087">
        <f t="shared" si="10"/>
        <v>9450000</v>
      </c>
      <c r="AZ11" s="1083">
        <f>[1]Субсидия_факт!NG13</f>
        <v>0</v>
      </c>
      <c r="BA11" s="1084"/>
      <c r="BB11" s="1087">
        <f>[1]Субсидия_факт!NI13</f>
        <v>0</v>
      </c>
      <c r="BC11" s="1084"/>
      <c r="BD11" s="1083">
        <f>[1]Субсидия_факт!NO13</f>
        <v>0</v>
      </c>
      <c r="BE11" s="1084"/>
      <c r="BF11" s="1083">
        <f>[1]Субсидия_факт!NU13</f>
        <v>5510400</v>
      </c>
      <c r="BG11" s="1084">
        <v>5097897</v>
      </c>
      <c r="BH11" s="1083">
        <f>[1]Субсидия_факт!OA13</f>
        <v>253246.43</v>
      </c>
      <c r="BI11" s="1087">
        <f t="shared" si="11"/>
        <v>253246.43</v>
      </c>
      <c r="BJ11" s="1337"/>
      <c r="BK11" s="1084"/>
      <c r="BL11" s="1337">
        <f>[1]Субсидия_факт!PQ13</f>
        <v>0</v>
      </c>
      <c r="BM11" s="1084"/>
    </row>
    <row r="12" spans="1:65" s="1339" customFormat="1" ht="21" customHeight="1" x14ac:dyDescent="0.3">
      <c r="A12" s="1353" t="s">
        <v>92</v>
      </c>
      <c r="B12" s="1315">
        <f t="shared" si="0"/>
        <v>38183272.310000002</v>
      </c>
      <c r="C12" s="1315">
        <f t="shared" si="1"/>
        <v>19328104.309999999</v>
      </c>
      <c r="D12" s="1083">
        <f>[1]Субсидия_факт!AI14</f>
        <v>176000</v>
      </c>
      <c r="E12" s="1087">
        <f t="shared" si="4"/>
        <v>176000</v>
      </c>
      <c r="F12" s="1083">
        <f>[1]Субсидия_факт!AK14</f>
        <v>0</v>
      </c>
      <c r="G12" s="1084"/>
      <c r="H12" s="1083">
        <f>[1]Субсидия_факт!AM14</f>
        <v>3206061.58</v>
      </c>
      <c r="I12" s="1084">
        <v>3206061.58</v>
      </c>
      <c r="J12" s="1083">
        <f>[1]Субсидия_факт!AO14</f>
        <v>67738.67</v>
      </c>
      <c r="K12" s="1087">
        <f t="shared" si="2"/>
        <v>67738.67</v>
      </c>
      <c r="L12" s="1083">
        <f>[1]Субсидия_факт!AQ14</f>
        <v>0</v>
      </c>
      <c r="M12" s="1084"/>
      <c r="N12" s="1083">
        <f>[1]Субсидия_факт!AS14</f>
        <v>0</v>
      </c>
      <c r="O12" s="1084"/>
      <c r="P12" s="1083">
        <f>[1]Субсидия_факт!CI14</f>
        <v>3859.2</v>
      </c>
      <c r="Q12" s="1087">
        <f t="shared" si="5"/>
        <v>3859.2</v>
      </c>
      <c r="R12" s="1083">
        <f>[1]Субсидия_факт!EU14</f>
        <v>0</v>
      </c>
      <c r="S12" s="1087">
        <f t="shared" si="6"/>
        <v>0</v>
      </c>
      <c r="T12" s="1083">
        <f>[1]Субсидия_факт!EW14</f>
        <v>0</v>
      </c>
      <c r="U12" s="1087">
        <f t="shared" si="3"/>
        <v>0</v>
      </c>
      <c r="V12" s="1083">
        <f>[1]Субсидия_факт!EY14</f>
        <v>126360</v>
      </c>
      <c r="W12" s="1084">
        <v>115830</v>
      </c>
      <c r="X12" s="1083">
        <f>[1]Субсидия_факт!FE14</f>
        <v>0</v>
      </c>
      <c r="Y12" s="1084"/>
      <c r="Z12" s="1083">
        <f>[1]Субсидия_факт!FM14</f>
        <v>30030967</v>
      </c>
      <c r="AA12" s="1084">
        <v>11528496</v>
      </c>
      <c r="AB12" s="1083">
        <f>[1]Субсидия_факт!GO14</f>
        <v>0</v>
      </c>
      <c r="AC12" s="1084"/>
      <c r="AD12" s="1083">
        <f>[1]Субсидия_факт!GU14</f>
        <v>139167</v>
      </c>
      <c r="AE12" s="1084"/>
      <c r="AF12" s="1083"/>
      <c r="AG12" s="1084"/>
      <c r="AH12" s="1083">
        <f>[1]Субсидия_факт!IG14</f>
        <v>0</v>
      </c>
      <c r="AI12" s="1084"/>
      <c r="AJ12" s="1083">
        <f>[1]Субсидия_факт!IM14</f>
        <v>0</v>
      </c>
      <c r="AK12" s="1084"/>
      <c r="AL12" s="1083">
        <f>[1]Субсидия_факт!IS14</f>
        <v>0</v>
      </c>
      <c r="AM12" s="1087">
        <f t="shared" si="8"/>
        <v>0</v>
      </c>
      <c r="AN12" s="1083">
        <f>[1]Субсидия_факт!LK14</f>
        <v>283633.01</v>
      </c>
      <c r="AO12" s="1087">
        <f t="shared" si="9"/>
        <v>283633.01</v>
      </c>
      <c r="AP12" s="1083">
        <f>[1]Субсидия_факт!LY14</f>
        <v>0</v>
      </c>
      <c r="AQ12" s="1084"/>
      <c r="AR12" s="1083">
        <f>[1]Субсидия_факт!MQ14</f>
        <v>0</v>
      </c>
      <c r="AS12" s="1084"/>
      <c r="AT12" s="1083">
        <f>[1]Субсидия_факт!MW14</f>
        <v>0</v>
      </c>
      <c r="AU12" s="1084"/>
      <c r="AV12" s="1083">
        <f>[1]Субсидия_факт!MY14</f>
        <v>0</v>
      </c>
      <c r="AW12" s="1084"/>
      <c r="AX12" s="1083">
        <f>[1]Субсидия_факт!NA14</f>
        <v>3150000</v>
      </c>
      <c r="AY12" s="1087">
        <f t="shared" si="10"/>
        <v>3150000</v>
      </c>
      <c r="AZ12" s="1083">
        <f>[1]Субсидия_факт!NG14</f>
        <v>0</v>
      </c>
      <c r="BA12" s="1084"/>
      <c r="BB12" s="1087">
        <f>[1]Субсидия_факт!NI14</f>
        <v>0</v>
      </c>
      <c r="BC12" s="1084"/>
      <c r="BD12" s="1083">
        <f>[1]Субсидия_факт!NO14</f>
        <v>0</v>
      </c>
      <c r="BE12" s="1084"/>
      <c r="BF12" s="1083">
        <f>[1]Субсидия_факт!NU14</f>
        <v>700000</v>
      </c>
      <c r="BG12" s="1084">
        <v>497000</v>
      </c>
      <c r="BH12" s="1083">
        <f>[1]Субсидия_факт!OA14</f>
        <v>299485.84999999998</v>
      </c>
      <c r="BI12" s="1087">
        <f t="shared" si="11"/>
        <v>299485.84999999998</v>
      </c>
      <c r="BJ12" s="1337"/>
      <c r="BK12" s="1084"/>
      <c r="BL12" s="1337">
        <f>[1]Субсидия_факт!PQ14</f>
        <v>0</v>
      </c>
      <c r="BM12" s="1084"/>
    </row>
    <row r="13" spans="1:65" s="1339" customFormat="1" ht="21" customHeight="1" x14ac:dyDescent="0.3">
      <c r="A13" s="1353" t="s">
        <v>93</v>
      </c>
      <c r="B13" s="1315">
        <f t="shared" si="0"/>
        <v>33702929.649999999</v>
      </c>
      <c r="C13" s="1315">
        <f t="shared" si="1"/>
        <v>30415480.049999997</v>
      </c>
      <c r="D13" s="1083">
        <f>[1]Субсидия_факт!AI15</f>
        <v>396000</v>
      </c>
      <c r="E13" s="1087">
        <f t="shared" si="4"/>
        <v>396000</v>
      </c>
      <c r="F13" s="1083">
        <f>[1]Субсидия_факт!AK15</f>
        <v>0</v>
      </c>
      <c r="G13" s="1084"/>
      <c r="H13" s="1083">
        <f>[1]Субсидия_факт!AM15</f>
        <v>5596593.6900000004</v>
      </c>
      <c r="I13" s="1084">
        <v>5596593.6900000004</v>
      </c>
      <c r="J13" s="1083">
        <f>[1]Субсидия_факт!AO15</f>
        <v>71537.100000000006</v>
      </c>
      <c r="K13" s="1087">
        <f t="shared" si="2"/>
        <v>71537.100000000006</v>
      </c>
      <c r="L13" s="1083">
        <f>[1]Субсидия_факт!AQ15</f>
        <v>0</v>
      </c>
      <c r="M13" s="1084"/>
      <c r="N13" s="1083">
        <f>[1]Субсидия_факт!AS15</f>
        <v>0</v>
      </c>
      <c r="O13" s="1084"/>
      <c r="P13" s="1083">
        <f>[1]Субсидия_факт!CI15</f>
        <v>12059.8</v>
      </c>
      <c r="Q13" s="1087">
        <f t="shared" si="5"/>
        <v>12059.8</v>
      </c>
      <c r="R13" s="1083">
        <f>[1]Субсидия_факт!EU15</f>
        <v>190551.31</v>
      </c>
      <c r="S13" s="1087">
        <f t="shared" si="6"/>
        <v>190551.31</v>
      </c>
      <c r="T13" s="1083">
        <f>[1]Субсидия_факт!EW15</f>
        <v>81608.679999999993</v>
      </c>
      <c r="U13" s="1087">
        <f t="shared" si="3"/>
        <v>81608.679999999993</v>
      </c>
      <c r="V13" s="1083">
        <f>[1]Субсидия_факт!EY15</f>
        <v>157950</v>
      </c>
      <c r="W13" s="1087">
        <f t="shared" si="7"/>
        <v>157950</v>
      </c>
      <c r="X13" s="1083">
        <f>[1]Субсидия_факт!FE15</f>
        <v>0</v>
      </c>
      <c r="Y13" s="1084"/>
      <c r="Z13" s="1083">
        <f>[1]Субсидия_факт!FM15</f>
        <v>18435347.600000001</v>
      </c>
      <c r="AA13" s="1084">
        <v>18375305</v>
      </c>
      <c r="AB13" s="1083">
        <f>[1]Субсидия_факт!GO15</f>
        <v>0</v>
      </c>
      <c r="AC13" s="1084"/>
      <c r="AD13" s="1083">
        <f>[1]Субсидия_факт!GU15</f>
        <v>0</v>
      </c>
      <c r="AE13" s="1084"/>
      <c r="AF13" s="1083"/>
      <c r="AG13" s="1084"/>
      <c r="AH13" s="1083">
        <f>[1]Субсидия_факт!IG15</f>
        <v>2425407</v>
      </c>
      <c r="AI13" s="1087">
        <v>0</v>
      </c>
      <c r="AJ13" s="1083">
        <f>[1]Субсидия_факт!IM15</f>
        <v>0</v>
      </c>
      <c r="AK13" s="1084"/>
      <c r="AL13" s="1083">
        <f>[1]Субсидия_факт!IS15</f>
        <v>0</v>
      </c>
      <c r="AM13" s="1087">
        <f t="shared" si="8"/>
        <v>0</v>
      </c>
      <c r="AN13" s="1083">
        <f>[1]Субсидия_факт!LK15</f>
        <v>163951.81</v>
      </c>
      <c r="AO13" s="1087">
        <f t="shared" si="9"/>
        <v>163951.81</v>
      </c>
      <c r="AP13" s="1083">
        <f>[1]Субсидия_факт!LY15</f>
        <v>0</v>
      </c>
      <c r="AQ13" s="1084"/>
      <c r="AR13" s="1083">
        <f>[1]Субсидия_факт!MQ15</f>
        <v>0</v>
      </c>
      <c r="AS13" s="1084"/>
      <c r="AT13" s="1083">
        <f>[1]Субсидия_факт!MW15</f>
        <v>0</v>
      </c>
      <c r="AU13" s="1084"/>
      <c r="AV13" s="1083">
        <f>[1]Субсидия_факт!MY15</f>
        <v>0</v>
      </c>
      <c r="AW13" s="1084"/>
      <c r="AX13" s="1083">
        <f>[1]Субсидия_факт!NA15</f>
        <v>3150000</v>
      </c>
      <c r="AY13" s="1087">
        <f t="shared" si="10"/>
        <v>3150000</v>
      </c>
      <c r="AZ13" s="1083">
        <f>[1]Субсидия_факт!NG15</f>
        <v>0</v>
      </c>
      <c r="BA13" s="1084"/>
      <c r="BB13" s="1087">
        <f>[1]Субсидия_факт!NI15</f>
        <v>0</v>
      </c>
      <c r="BC13" s="1084"/>
      <c r="BD13" s="1083">
        <f>[1]Субсидия_факт!NO15</f>
        <v>0</v>
      </c>
      <c r="BE13" s="1084"/>
      <c r="BF13" s="1083">
        <f>[1]Субсидия_факт!NU15</f>
        <v>2800000</v>
      </c>
      <c r="BG13" s="1084">
        <v>1998000</v>
      </c>
      <c r="BH13" s="1083">
        <f>[1]Субсидия_факт!OA15</f>
        <v>221922.66</v>
      </c>
      <c r="BI13" s="1087">
        <f t="shared" si="11"/>
        <v>221922.66</v>
      </c>
      <c r="BJ13" s="1337"/>
      <c r="BK13" s="1084"/>
      <c r="BL13" s="1337">
        <f>[1]Субсидия_факт!PQ15</f>
        <v>0</v>
      </c>
      <c r="BM13" s="1084"/>
    </row>
    <row r="14" spans="1:65" s="1339" customFormat="1" ht="21" customHeight="1" x14ac:dyDescent="0.3">
      <c r="A14" s="1353" t="s">
        <v>94</v>
      </c>
      <c r="B14" s="1315">
        <f t="shared" si="0"/>
        <v>18301106.049999997</v>
      </c>
      <c r="C14" s="1315">
        <f t="shared" si="1"/>
        <v>16390787.300000001</v>
      </c>
      <c r="D14" s="1083">
        <f>[1]Субсидия_факт!AI16</f>
        <v>132000</v>
      </c>
      <c r="E14" s="1087">
        <f t="shared" si="4"/>
        <v>132000</v>
      </c>
      <c r="F14" s="1083">
        <f>[1]Субсидия_факт!AK16</f>
        <v>200166</v>
      </c>
      <c r="G14" s="1087">
        <f t="shared" si="4"/>
        <v>200166</v>
      </c>
      <c r="H14" s="1083">
        <f>[1]Субсидия_факт!AM16</f>
        <v>4149978.19</v>
      </c>
      <c r="I14" s="1084">
        <v>4149978.19</v>
      </c>
      <c r="J14" s="1083">
        <f>[1]Субсидия_факт!AO16</f>
        <v>104456.82</v>
      </c>
      <c r="K14" s="1087">
        <f t="shared" si="2"/>
        <v>104456.82</v>
      </c>
      <c r="L14" s="1083">
        <f>[1]Субсидия_факт!AQ16</f>
        <v>0</v>
      </c>
      <c r="M14" s="1084"/>
      <c r="N14" s="1083">
        <f>[1]Субсидия_факт!AS16</f>
        <v>907381.19</v>
      </c>
      <c r="O14" s="1084">
        <v>345702.6</v>
      </c>
      <c r="P14" s="1083">
        <f>[1]Субсидия_факт!CI16</f>
        <v>16400.400000000001</v>
      </c>
      <c r="Q14" s="1087">
        <f t="shared" si="5"/>
        <v>16400.400000000001</v>
      </c>
      <c r="R14" s="1083">
        <f>[1]Субсидия_факт!EU16</f>
        <v>285000</v>
      </c>
      <c r="S14" s="1087">
        <f t="shared" si="6"/>
        <v>285000</v>
      </c>
      <c r="T14" s="1083">
        <f>[1]Субсидия_факт!EW16</f>
        <v>226220.35</v>
      </c>
      <c r="U14" s="1087">
        <f t="shared" si="3"/>
        <v>226220.35</v>
      </c>
      <c r="V14" s="1083">
        <f>[1]Субсидия_факт!EY16</f>
        <v>168480</v>
      </c>
      <c r="W14" s="1087">
        <f t="shared" si="7"/>
        <v>168480</v>
      </c>
      <c r="X14" s="1083">
        <f>[1]Субсидия_факт!FE16</f>
        <v>0</v>
      </c>
      <c r="Y14" s="1084"/>
      <c r="Z14" s="1083">
        <f>[1]Субсидия_факт!FM16</f>
        <v>6456968</v>
      </c>
      <c r="AA14" s="1084">
        <v>6194803</v>
      </c>
      <c r="AB14" s="1083">
        <f>[1]Субсидия_факт!GO16</f>
        <v>0</v>
      </c>
      <c r="AC14" s="1084"/>
      <c r="AD14" s="1083">
        <f>[1]Субсидия_факт!GU16</f>
        <v>146308.53</v>
      </c>
      <c r="AE14" s="1084"/>
      <c r="AF14" s="1083"/>
      <c r="AG14" s="1084"/>
      <c r="AH14" s="1083">
        <f>[1]Субсидия_факт!IG16</f>
        <v>2196476.0499999998</v>
      </c>
      <c r="AI14" s="1084">
        <v>1313355.05</v>
      </c>
      <c r="AJ14" s="1083">
        <f>[1]Субсидия_факт!IM16</f>
        <v>0</v>
      </c>
      <c r="AK14" s="1084"/>
      <c r="AL14" s="1083">
        <f>[1]Субсидия_факт!IS16</f>
        <v>0</v>
      </c>
      <c r="AM14" s="1087">
        <f t="shared" si="8"/>
        <v>0</v>
      </c>
      <c r="AN14" s="1083">
        <f>[1]Субсидия_факт!LK16</f>
        <v>160481.83000000002</v>
      </c>
      <c r="AO14" s="1087">
        <f t="shared" si="9"/>
        <v>160481.83000000002</v>
      </c>
      <c r="AP14" s="1083">
        <f>[1]Субсидия_факт!LY16</f>
        <v>0</v>
      </c>
      <c r="AQ14" s="1084"/>
      <c r="AR14" s="1083">
        <f>[1]Субсидия_факт!MQ16</f>
        <v>0</v>
      </c>
      <c r="AS14" s="1084"/>
      <c r="AT14" s="1083">
        <f>[1]Субсидия_факт!MW16</f>
        <v>0</v>
      </c>
      <c r="AU14" s="1084"/>
      <c r="AV14" s="1083">
        <f>[1]Субсидия_факт!MY16</f>
        <v>0</v>
      </c>
      <c r="AW14" s="1084"/>
      <c r="AX14" s="1083">
        <f>[1]Субсидия_факт!NA16</f>
        <v>0</v>
      </c>
      <c r="AY14" s="1087">
        <f t="shared" si="10"/>
        <v>0</v>
      </c>
      <c r="AZ14" s="1083">
        <f>[1]Субсидия_факт!NG16</f>
        <v>0</v>
      </c>
      <c r="BA14" s="1084"/>
      <c r="BB14" s="1087">
        <f>[1]Субсидия_факт!NI16</f>
        <v>0</v>
      </c>
      <c r="BC14" s="1084"/>
      <c r="BD14" s="1083">
        <f>[1]Субсидия_факт!NO16</f>
        <v>0</v>
      </c>
      <c r="BE14" s="1084"/>
      <c r="BF14" s="1083">
        <f>[1]Субсидия_факт!NU16</f>
        <v>2850400</v>
      </c>
      <c r="BG14" s="1084">
        <v>2793354.37</v>
      </c>
      <c r="BH14" s="1083">
        <f>[1]Субсидия_факт!OA16</f>
        <v>300388.69</v>
      </c>
      <c r="BI14" s="1087">
        <f t="shared" si="11"/>
        <v>300388.69</v>
      </c>
      <c r="BJ14" s="1337"/>
      <c r="BK14" s="1084"/>
      <c r="BL14" s="1337">
        <f>[1]Субсидия_факт!PQ16</f>
        <v>0</v>
      </c>
      <c r="BM14" s="1084"/>
    </row>
    <row r="15" spans="1:65" s="1339" customFormat="1" ht="21" customHeight="1" x14ac:dyDescent="0.3">
      <c r="A15" s="1353" t="s">
        <v>95</v>
      </c>
      <c r="B15" s="1315">
        <f t="shared" si="0"/>
        <v>19144752.689999998</v>
      </c>
      <c r="C15" s="1315">
        <f t="shared" si="1"/>
        <v>18493236.689999998</v>
      </c>
      <c r="D15" s="1083">
        <f>[1]Субсидия_факт!AI17</f>
        <v>352000</v>
      </c>
      <c r="E15" s="1087">
        <f t="shared" si="4"/>
        <v>352000</v>
      </c>
      <c r="F15" s="1083">
        <f>[1]Субсидия_факт!AK17</f>
        <v>0</v>
      </c>
      <c r="G15" s="1084"/>
      <c r="H15" s="1083">
        <f>[1]Субсидия_факт!AM17</f>
        <v>8812600.75</v>
      </c>
      <c r="I15" s="1084">
        <v>8812600.75</v>
      </c>
      <c r="J15" s="1083">
        <f>[1]Субсидия_факт!AO17</f>
        <v>43681.94</v>
      </c>
      <c r="K15" s="1087">
        <f t="shared" si="2"/>
        <v>43681.94</v>
      </c>
      <c r="L15" s="1083">
        <f>[1]Субсидия_факт!AQ17</f>
        <v>0</v>
      </c>
      <c r="M15" s="1084"/>
      <c r="N15" s="1083">
        <f>[1]Субсидия_факт!AS17</f>
        <v>80237.27</v>
      </c>
      <c r="O15" s="1084">
        <v>80237.27</v>
      </c>
      <c r="P15" s="1083">
        <f>[1]Субсидия_факт!CI17</f>
        <v>4823.95</v>
      </c>
      <c r="Q15" s="1087">
        <f t="shared" si="5"/>
        <v>4823.95</v>
      </c>
      <c r="R15" s="1083">
        <f>[1]Субсидия_факт!EU17</f>
        <v>162122.96</v>
      </c>
      <c r="S15" s="1087">
        <f t="shared" si="6"/>
        <v>162122.96</v>
      </c>
      <c r="T15" s="1083">
        <f>[1]Субсидия_факт!EW17</f>
        <v>191401.57</v>
      </c>
      <c r="U15" s="1087">
        <f t="shared" si="3"/>
        <v>191401.57</v>
      </c>
      <c r="V15" s="1083">
        <f>[1]Субсидия_факт!EY17</f>
        <v>157950</v>
      </c>
      <c r="W15" s="1087">
        <f t="shared" si="7"/>
        <v>157950</v>
      </c>
      <c r="X15" s="1083">
        <f>[1]Субсидия_факт!FE17</f>
        <v>0</v>
      </c>
      <c r="Y15" s="1084"/>
      <c r="Z15" s="1083">
        <f>[1]Субсидия_факт!FM17</f>
        <v>3504348</v>
      </c>
      <c r="AA15" s="1084">
        <v>3375648</v>
      </c>
      <c r="AB15" s="1083">
        <f>[1]Субсидия_факт!GO17</f>
        <v>0</v>
      </c>
      <c r="AC15" s="1084"/>
      <c r="AD15" s="1083">
        <f>[1]Субсидия_факт!GU17</f>
        <v>0</v>
      </c>
      <c r="AE15" s="1084"/>
      <c r="AF15" s="1083"/>
      <c r="AG15" s="1084"/>
      <c r="AH15" s="1083">
        <f>[1]Субсидия_факт!IG17</f>
        <v>0</v>
      </c>
      <c r="AI15" s="1084"/>
      <c r="AJ15" s="1083">
        <f>[1]Субсидия_факт!IM17</f>
        <v>0</v>
      </c>
      <c r="AK15" s="1084"/>
      <c r="AL15" s="1083">
        <f>[1]Субсидия_факт!IS17</f>
        <v>0</v>
      </c>
      <c r="AM15" s="1087">
        <f t="shared" si="8"/>
        <v>0</v>
      </c>
      <c r="AN15" s="1083">
        <f>[1]Субсидия_факт!LK17</f>
        <v>413690.02</v>
      </c>
      <c r="AO15" s="1087">
        <f t="shared" si="9"/>
        <v>413690.02</v>
      </c>
      <c r="AP15" s="1083">
        <f>[1]Субсидия_факт!LY17</f>
        <v>0</v>
      </c>
      <c r="AQ15" s="1084"/>
      <c r="AR15" s="1083">
        <f>[1]Субсидия_факт!MQ17</f>
        <v>0</v>
      </c>
      <c r="AS15" s="1084"/>
      <c r="AT15" s="1083">
        <f>[1]Субсидия_факт!MW17</f>
        <v>0</v>
      </c>
      <c r="AU15" s="1084"/>
      <c r="AV15" s="1083">
        <f>[1]Субсидия_факт!MY17</f>
        <v>0</v>
      </c>
      <c r="AW15" s="1084"/>
      <c r="AX15" s="1083">
        <f>[1]Субсидия_факт!NA17</f>
        <v>3150000</v>
      </c>
      <c r="AY15" s="1087">
        <f t="shared" si="10"/>
        <v>3150000</v>
      </c>
      <c r="AZ15" s="1083">
        <f>[1]Субсидия_факт!NG17</f>
        <v>0</v>
      </c>
      <c r="BA15" s="1084"/>
      <c r="BB15" s="1087">
        <f>[1]Субсидия_факт!NI17</f>
        <v>0</v>
      </c>
      <c r="BC15" s="1084"/>
      <c r="BD15" s="1083">
        <f>[1]Субсидия_факт!NO17</f>
        <v>0</v>
      </c>
      <c r="BE15" s="1084"/>
      <c r="BF15" s="1083">
        <f>[1]Субсидия_факт!NU17</f>
        <v>2178400</v>
      </c>
      <c r="BG15" s="1084">
        <v>1655584</v>
      </c>
      <c r="BH15" s="1083">
        <f>[1]Субсидия_факт!OA17</f>
        <v>93496.23</v>
      </c>
      <c r="BI15" s="1087">
        <f t="shared" si="11"/>
        <v>93496.23</v>
      </c>
      <c r="BJ15" s="1337"/>
      <c r="BK15" s="1084"/>
      <c r="BL15" s="1337">
        <f>[1]Субсидия_факт!PQ17</f>
        <v>0</v>
      </c>
      <c r="BM15" s="1084"/>
    </row>
    <row r="16" spans="1:65" s="1339" customFormat="1" ht="21" customHeight="1" x14ac:dyDescent="0.3">
      <c r="A16" s="1353" t="s">
        <v>96</v>
      </c>
      <c r="B16" s="1315">
        <f t="shared" si="0"/>
        <v>26070015.129999999</v>
      </c>
      <c r="C16" s="1315">
        <f t="shared" si="1"/>
        <v>21697857.130000003</v>
      </c>
      <c r="D16" s="1083">
        <f>[1]Субсидия_факт!AI18</f>
        <v>308000</v>
      </c>
      <c r="E16" s="1087">
        <f t="shared" si="4"/>
        <v>308000</v>
      </c>
      <c r="F16" s="1083">
        <f>[1]Субсидия_факт!AK18</f>
        <v>0</v>
      </c>
      <c r="G16" s="1084"/>
      <c r="H16" s="1083">
        <f>[1]Субсидия_факт!AM18</f>
        <v>2481849.7000000002</v>
      </c>
      <c r="I16" s="1084">
        <v>2481849.7000000002</v>
      </c>
      <c r="J16" s="1083">
        <f>[1]Субсидия_факт!AO18</f>
        <v>82932.39</v>
      </c>
      <c r="K16" s="1087">
        <f t="shared" si="2"/>
        <v>82932.39</v>
      </c>
      <c r="L16" s="1083">
        <f>[1]Субсидия_факт!AQ18</f>
        <v>0</v>
      </c>
      <c r="M16" s="1084"/>
      <c r="N16" s="1083">
        <f>[1]Субсидия_факт!AS18</f>
        <v>0</v>
      </c>
      <c r="O16" s="1084"/>
      <c r="P16" s="1083">
        <f>[1]Субсидия_факт!CI18</f>
        <v>7235.95</v>
      </c>
      <c r="Q16" s="1087">
        <f t="shared" si="5"/>
        <v>7235.95</v>
      </c>
      <c r="R16" s="1083">
        <f>[1]Субсидия_факт!EU18</f>
        <v>0</v>
      </c>
      <c r="S16" s="1087">
        <f t="shared" si="6"/>
        <v>0</v>
      </c>
      <c r="T16" s="1083">
        <f>[1]Субсидия_факт!EW18</f>
        <v>142915.84</v>
      </c>
      <c r="U16" s="1087">
        <f t="shared" si="3"/>
        <v>142915.84</v>
      </c>
      <c r="V16" s="1083">
        <f>[1]Субсидия_факт!EY18</f>
        <v>168480</v>
      </c>
      <c r="W16" s="1087">
        <f t="shared" si="7"/>
        <v>168480</v>
      </c>
      <c r="X16" s="1083">
        <f>[1]Субсидия_факт!FE18</f>
        <v>0</v>
      </c>
      <c r="Y16" s="1084"/>
      <c r="Z16" s="1083">
        <f>[1]Субсидия_факт!FM18</f>
        <v>16433562</v>
      </c>
      <c r="AA16" s="1084">
        <v>12703404</v>
      </c>
      <c r="AB16" s="1083">
        <f>[1]Субсидия_факт!GO18</f>
        <v>0</v>
      </c>
      <c r="AC16" s="1084"/>
      <c r="AD16" s="1083">
        <f>[1]Субсидия_факт!GU18</f>
        <v>0</v>
      </c>
      <c r="AE16" s="1084"/>
      <c r="AF16" s="1083"/>
      <c r="AG16" s="1084"/>
      <c r="AH16" s="1083">
        <f>[1]Субсидия_факт!IG18</f>
        <v>0</v>
      </c>
      <c r="AI16" s="1084"/>
      <c r="AJ16" s="1083">
        <f>[1]Субсидия_факт!IM18</f>
        <v>0</v>
      </c>
      <c r="AK16" s="1084"/>
      <c r="AL16" s="1083">
        <f>[1]Субсидия_факт!IS18</f>
        <v>0</v>
      </c>
      <c r="AM16" s="1087">
        <f t="shared" si="8"/>
        <v>0</v>
      </c>
      <c r="AN16" s="1083">
        <f>[1]Субсидия_факт!LK18</f>
        <v>335924.69999999995</v>
      </c>
      <c r="AO16" s="1087">
        <f t="shared" si="9"/>
        <v>335924.69999999995</v>
      </c>
      <c r="AP16" s="1083">
        <f>[1]Субсидия_факт!LY18</f>
        <v>0</v>
      </c>
      <c r="AQ16" s="1084"/>
      <c r="AR16" s="1083">
        <f>[1]Субсидия_факт!MQ18</f>
        <v>0</v>
      </c>
      <c r="AS16" s="1084"/>
      <c r="AT16" s="1083">
        <f>[1]Субсидия_факт!MW18</f>
        <v>0</v>
      </c>
      <c r="AU16" s="1084"/>
      <c r="AV16" s="1083">
        <f>[1]Субсидия_факт!MY18</f>
        <v>0</v>
      </c>
      <c r="AW16" s="1084"/>
      <c r="AX16" s="1083">
        <f>[1]Субсидия_факт!NA18</f>
        <v>3150000</v>
      </c>
      <c r="AY16" s="1087">
        <f t="shared" si="10"/>
        <v>3150000</v>
      </c>
      <c r="AZ16" s="1083">
        <f>[1]Субсидия_факт!NG18</f>
        <v>0</v>
      </c>
      <c r="BA16" s="1084"/>
      <c r="BB16" s="1087">
        <f>[1]Субсидия_факт!NI18</f>
        <v>0</v>
      </c>
      <c r="BC16" s="1084"/>
      <c r="BD16" s="1083">
        <f>[1]Субсидия_факт!NO18</f>
        <v>0</v>
      </c>
      <c r="BE16" s="1084"/>
      <c r="BF16" s="1083">
        <f>[1]Субсидия_факт!NU18</f>
        <v>2800000</v>
      </c>
      <c r="BG16" s="1084">
        <v>2158000</v>
      </c>
      <c r="BH16" s="1083">
        <f>[1]Субсидия_факт!OA18</f>
        <v>159114.54999999999</v>
      </c>
      <c r="BI16" s="1087">
        <f t="shared" si="11"/>
        <v>159114.54999999999</v>
      </c>
      <c r="BJ16" s="1337"/>
      <c r="BK16" s="1084"/>
      <c r="BL16" s="1337">
        <f>[1]Субсидия_факт!PQ18</f>
        <v>0</v>
      </c>
      <c r="BM16" s="1084"/>
    </row>
    <row r="17" spans="1:65" s="1339" customFormat="1" ht="21" customHeight="1" x14ac:dyDescent="0.3">
      <c r="A17" s="1353" t="s">
        <v>97</v>
      </c>
      <c r="B17" s="1315">
        <f t="shared" si="0"/>
        <v>70930864.780000001</v>
      </c>
      <c r="C17" s="1315">
        <f t="shared" si="1"/>
        <v>51512519.370000005</v>
      </c>
      <c r="D17" s="1083">
        <f>[1]Субсидия_факт!AI19</f>
        <v>66000</v>
      </c>
      <c r="E17" s="1087">
        <f t="shared" si="4"/>
        <v>66000</v>
      </c>
      <c r="F17" s="1083">
        <f>[1]Субсидия_факт!AK19</f>
        <v>0</v>
      </c>
      <c r="G17" s="1084"/>
      <c r="H17" s="1083">
        <f>[1]Субсидия_факт!AM19</f>
        <v>4149978.19</v>
      </c>
      <c r="I17" s="1084">
        <v>4149978.19</v>
      </c>
      <c r="J17" s="1083">
        <f>[1]Субсидия_факт!AO19</f>
        <v>30387.439999999999</v>
      </c>
      <c r="K17" s="1087">
        <f t="shared" si="2"/>
        <v>30387.439999999999</v>
      </c>
      <c r="L17" s="1083">
        <f>[1]Субсидия_факт!AQ19</f>
        <v>0</v>
      </c>
      <c r="M17" s="1084"/>
      <c r="N17" s="1083">
        <f>[1]Субсидия_факт!AS19</f>
        <v>1136844.22</v>
      </c>
      <c r="O17" s="1084">
        <v>1009352.95</v>
      </c>
      <c r="P17" s="1083">
        <f>[1]Субсидия_факт!CI19</f>
        <v>4823.95</v>
      </c>
      <c r="Q17" s="1087">
        <f t="shared" si="5"/>
        <v>4823.95</v>
      </c>
      <c r="R17" s="1083">
        <f>[1]Субсидия_факт!EU19</f>
        <v>222902.58</v>
      </c>
      <c r="S17" s="1087">
        <f t="shared" si="6"/>
        <v>222902.58</v>
      </c>
      <c r="T17" s="1083">
        <f>[1]Субсидия_факт!EW19</f>
        <v>67930.47</v>
      </c>
      <c r="U17" s="1087">
        <f t="shared" si="3"/>
        <v>67930.47</v>
      </c>
      <c r="V17" s="1083">
        <f>[1]Субсидия_факт!EY19</f>
        <v>84240</v>
      </c>
      <c r="W17" s="1087">
        <f t="shared" si="7"/>
        <v>84240</v>
      </c>
      <c r="X17" s="1083">
        <f>[1]Субсидия_факт!FE19</f>
        <v>0</v>
      </c>
      <c r="Y17" s="1084"/>
      <c r="Z17" s="1083">
        <f>[1]Субсидия_факт!FM19</f>
        <v>58355838</v>
      </c>
      <c r="AA17" s="1084">
        <v>39682779</v>
      </c>
      <c r="AB17" s="1083">
        <f>[1]Субсидия_факт!GO19</f>
        <v>0</v>
      </c>
      <c r="AC17" s="1084"/>
      <c r="AD17" s="1083">
        <f>[1]Субсидия_факт!GU19</f>
        <v>0</v>
      </c>
      <c r="AE17" s="1084"/>
      <c r="AF17" s="1083"/>
      <c r="AG17" s="1084"/>
      <c r="AH17" s="1083">
        <f>[1]Субсидия_факт!IG19</f>
        <v>0</v>
      </c>
      <c r="AI17" s="1084"/>
      <c r="AJ17" s="1083">
        <f>[1]Субсидия_факт!IM19</f>
        <v>0</v>
      </c>
      <c r="AK17" s="1084"/>
      <c r="AL17" s="1083">
        <f>[1]Субсидия_факт!IS19</f>
        <v>0</v>
      </c>
      <c r="AM17" s="1087">
        <f t="shared" si="8"/>
        <v>0</v>
      </c>
      <c r="AN17" s="1083">
        <f>[1]Субсидия_факт!LK19</f>
        <v>741166.27</v>
      </c>
      <c r="AO17" s="1087">
        <f t="shared" si="9"/>
        <v>741166.27</v>
      </c>
      <c r="AP17" s="1083">
        <f>[1]Субсидия_факт!LY19</f>
        <v>0</v>
      </c>
      <c r="AQ17" s="1084"/>
      <c r="AR17" s="1083">
        <f>[1]Субсидия_факт!MQ19</f>
        <v>0</v>
      </c>
      <c r="AS17" s="1084"/>
      <c r="AT17" s="1083">
        <f>[1]Субсидия_факт!MW19</f>
        <v>0</v>
      </c>
      <c r="AU17" s="1084"/>
      <c r="AV17" s="1083">
        <f>[1]Субсидия_факт!MY19</f>
        <v>0</v>
      </c>
      <c r="AW17" s="1084"/>
      <c r="AX17" s="1083">
        <f>[1]Субсидия_факт!NA19</f>
        <v>3420000</v>
      </c>
      <c r="AY17" s="1087">
        <f t="shared" si="10"/>
        <v>3420000</v>
      </c>
      <c r="AZ17" s="1083">
        <f>[1]Субсидия_факт!NG19</f>
        <v>0</v>
      </c>
      <c r="BA17" s="1084"/>
      <c r="BB17" s="1087">
        <f>[1]Субсидия_факт!NI19</f>
        <v>0</v>
      </c>
      <c r="BC17" s="1084"/>
      <c r="BD17" s="1083">
        <f>[1]Субсидия_факт!NO19</f>
        <v>0</v>
      </c>
      <c r="BE17" s="1084"/>
      <c r="BF17" s="1083">
        <f>[1]Субсидия_факт!NU19</f>
        <v>2374400</v>
      </c>
      <c r="BG17" s="1084">
        <v>1756604.86</v>
      </c>
      <c r="BH17" s="1083">
        <f>[1]Субсидия_факт!OA19</f>
        <v>276353.65999999997</v>
      </c>
      <c r="BI17" s="1087">
        <f t="shared" si="11"/>
        <v>276353.65999999997</v>
      </c>
      <c r="BJ17" s="1337"/>
      <c r="BK17" s="1084"/>
      <c r="BL17" s="1337">
        <f>[1]Субсидия_факт!PQ19</f>
        <v>0</v>
      </c>
      <c r="BM17" s="1084"/>
    </row>
    <row r="18" spans="1:65" s="1339" customFormat="1" ht="21" customHeight="1" x14ac:dyDescent="0.3">
      <c r="A18" s="1353" t="s">
        <v>98</v>
      </c>
      <c r="B18" s="1315">
        <f t="shared" si="0"/>
        <v>19887858.43</v>
      </c>
      <c r="C18" s="1315">
        <f t="shared" si="1"/>
        <v>19281203.23</v>
      </c>
      <c r="D18" s="1083">
        <f>[1]Субсидия_факт!AI20</f>
        <v>242000</v>
      </c>
      <c r="E18" s="1087">
        <f t="shared" si="4"/>
        <v>242000</v>
      </c>
      <c r="F18" s="1083">
        <f>[1]Субсидия_факт!AK20</f>
        <v>0</v>
      </c>
      <c r="G18" s="1084"/>
      <c r="H18" s="1083">
        <f>[1]Субсидия_факт!AM20</f>
        <v>8015153.96</v>
      </c>
      <c r="I18" s="1084">
        <v>8015153.96</v>
      </c>
      <c r="J18" s="1083">
        <f>[1]Субсидия_факт!AO20</f>
        <v>72170.17</v>
      </c>
      <c r="K18" s="1087">
        <f t="shared" si="2"/>
        <v>72170.17</v>
      </c>
      <c r="L18" s="1083">
        <f>[1]Субсидия_факт!AQ20</f>
        <v>0</v>
      </c>
      <c r="M18" s="1084"/>
      <c r="N18" s="1083">
        <f>[1]Субсидия_факт!AS20</f>
        <v>1768424</v>
      </c>
      <c r="O18" s="1084">
        <v>1768424</v>
      </c>
      <c r="P18" s="1083">
        <f>[1]Субсидия_факт!CI20</f>
        <v>43415.34</v>
      </c>
      <c r="Q18" s="1087">
        <f t="shared" si="5"/>
        <v>43415.34</v>
      </c>
      <c r="R18" s="1083">
        <f>[1]Субсидия_факт!EU20</f>
        <v>285000</v>
      </c>
      <c r="S18" s="1087">
        <f t="shared" si="6"/>
        <v>285000</v>
      </c>
      <c r="T18" s="1083">
        <f>[1]Субсидия_факт!EW20</f>
        <v>47109.16</v>
      </c>
      <c r="U18" s="1087">
        <f t="shared" si="3"/>
        <v>47109.16</v>
      </c>
      <c r="V18" s="1083">
        <f>[1]Субсидия_факт!EY20</f>
        <v>200070</v>
      </c>
      <c r="W18" s="1087">
        <f t="shared" si="7"/>
        <v>200070</v>
      </c>
      <c r="X18" s="1083">
        <f>[1]Субсидия_факт!FE20</f>
        <v>0</v>
      </c>
      <c r="Y18" s="1084"/>
      <c r="Z18" s="1083">
        <f>[1]Субсидия_факт!FM20</f>
        <v>0</v>
      </c>
      <c r="AA18" s="1084"/>
      <c r="AB18" s="1083">
        <f>[1]Субсидия_факт!GO20</f>
        <v>0</v>
      </c>
      <c r="AC18" s="1084"/>
      <c r="AD18" s="1083">
        <f>[1]Субсидия_факт!GU20</f>
        <v>120000.00000000001</v>
      </c>
      <c r="AE18" s="1084"/>
      <c r="AF18" s="1083"/>
      <c r="AG18" s="1084"/>
      <c r="AH18" s="1083">
        <f>[1]Субсидия_факт!IG20</f>
        <v>0</v>
      </c>
      <c r="AI18" s="1084"/>
      <c r="AJ18" s="1083">
        <f>[1]Субсидия_факт!IM20</f>
        <v>0</v>
      </c>
      <c r="AK18" s="1084"/>
      <c r="AL18" s="1083">
        <f>[1]Субсидия_факт!IS20</f>
        <v>0</v>
      </c>
      <c r="AM18" s="1087">
        <f t="shared" si="8"/>
        <v>0</v>
      </c>
      <c r="AN18" s="1083">
        <f>[1]Субсидия_факт!LK20</f>
        <v>356194.05</v>
      </c>
      <c r="AO18" s="1087">
        <f t="shared" si="9"/>
        <v>356194.05</v>
      </c>
      <c r="AP18" s="1083">
        <f>[1]Субсидия_факт!LY20</f>
        <v>0</v>
      </c>
      <c r="AQ18" s="1084"/>
      <c r="AR18" s="1083">
        <f>[1]Субсидия_факт!MQ20</f>
        <v>0</v>
      </c>
      <c r="AS18" s="1084"/>
      <c r="AT18" s="1083">
        <f>[1]Субсидия_факт!MW20</f>
        <v>0</v>
      </c>
      <c r="AU18" s="1084"/>
      <c r="AV18" s="1083">
        <f>[1]Субсидия_факт!MY20</f>
        <v>0</v>
      </c>
      <c r="AW18" s="1084"/>
      <c r="AX18" s="1083">
        <f>[1]Субсидия_факт!NA20</f>
        <v>6840000</v>
      </c>
      <c r="AY18" s="1087">
        <f t="shared" si="10"/>
        <v>6840000</v>
      </c>
      <c r="AZ18" s="1083">
        <f>[1]Субсидия_факт!NG20</f>
        <v>0</v>
      </c>
      <c r="BA18" s="1084"/>
      <c r="BB18" s="1087">
        <f>[1]Субсидия_факт!NI20</f>
        <v>0</v>
      </c>
      <c r="BC18" s="1084"/>
      <c r="BD18" s="1083">
        <f>[1]Субсидия_факт!NO20</f>
        <v>0</v>
      </c>
      <c r="BE18" s="1084"/>
      <c r="BF18" s="1083">
        <f>[1]Субсидия_факт!NU20</f>
        <v>1680000</v>
      </c>
      <c r="BG18" s="1084">
        <v>1193344.8</v>
      </c>
      <c r="BH18" s="1083">
        <f>[1]Субсидия_факт!OA20</f>
        <v>218321.75</v>
      </c>
      <c r="BI18" s="1087">
        <f t="shared" si="11"/>
        <v>218321.75</v>
      </c>
      <c r="BJ18" s="1337"/>
      <c r="BK18" s="1084"/>
      <c r="BL18" s="1337">
        <f>[1]Субсидия_факт!PQ20</f>
        <v>0</v>
      </c>
      <c r="BM18" s="1084"/>
    </row>
    <row r="19" spans="1:65" s="1339" customFormat="1" ht="21" customHeight="1" x14ac:dyDescent="0.3">
      <c r="A19" s="1353" t="s">
        <v>99</v>
      </c>
      <c r="B19" s="1315">
        <f t="shared" si="0"/>
        <v>24868147.48</v>
      </c>
      <c r="C19" s="1315">
        <f t="shared" si="1"/>
        <v>22481342.690000001</v>
      </c>
      <c r="D19" s="1083">
        <f>[1]Субсидия_факт!AI21</f>
        <v>185000</v>
      </c>
      <c r="E19" s="1087">
        <f t="shared" si="4"/>
        <v>185000</v>
      </c>
      <c r="F19" s="1083">
        <f>[1]Субсидия_факт!AK21</f>
        <v>0</v>
      </c>
      <c r="G19" s="1084"/>
      <c r="H19" s="1083">
        <f>[1]Субсидия_факт!AM21</f>
        <v>0</v>
      </c>
      <c r="I19" s="1084"/>
      <c r="J19" s="1083">
        <f>[1]Субсидия_факт!AO21</f>
        <v>56343.38</v>
      </c>
      <c r="K19" s="1087">
        <f t="shared" si="2"/>
        <v>56343.38</v>
      </c>
      <c r="L19" s="1083">
        <f>[1]Субсидия_факт!AQ21</f>
        <v>0</v>
      </c>
      <c r="M19" s="1084"/>
      <c r="N19" s="1083">
        <f>[1]Субсидия_факт!AS21</f>
        <v>0</v>
      </c>
      <c r="O19" s="1084"/>
      <c r="P19" s="1083">
        <f>[1]Субсидия_факт!CI21</f>
        <v>4824</v>
      </c>
      <c r="Q19" s="1087">
        <f t="shared" si="5"/>
        <v>4824</v>
      </c>
      <c r="R19" s="1083">
        <f>[1]Субсидия_факт!EU21</f>
        <v>0</v>
      </c>
      <c r="S19" s="1087">
        <f t="shared" si="6"/>
        <v>0</v>
      </c>
      <c r="T19" s="1083">
        <f>[1]Субсидия_факт!EW21</f>
        <v>33984</v>
      </c>
      <c r="U19" s="1087">
        <f t="shared" si="3"/>
        <v>33984</v>
      </c>
      <c r="V19" s="1083">
        <f>[1]Субсидия_факт!EY21</f>
        <v>94770</v>
      </c>
      <c r="W19" s="1084">
        <v>42120</v>
      </c>
      <c r="X19" s="1083">
        <f>[1]Субсидия_факт!FE21</f>
        <v>0</v>
      </c>
      <c r="Y19" s="1084"/>
      <c r="Z19" s="1083">
        <f>[1]Субсидия_факт!FM21</f>
        <v>9587718</v>
      </c>
      <c r="AA19" s="1087">
        <f>Z19</f>
        <v>9587718</v>
      </c>
      <c r="AB19" s="1083">
        <f>[1]Субсидия_факт!GO21</f>
        <v>0</v>
      </c>
      <c r="AC19" s="1084"/>
      <c r="AD19" s="1083">
        <f>[1]Субсидия_факт!GU21</f>
        <v>0</v>
      </c>
      <c r="AE19" s="1084"/>
      <c r="AF19" s="1083"/>
      <c r="AG19" s="1084"/>
      <c r="AH19" s="1083">
        <f>[1]Субсидия_факт!IG21</f>
        <v>8683240</v>
      </c>
      <c r="AI19" s="1084">
        <v>6389085.21</v>
      </c>
      <c r="AJ19" s="1083">
        <f>[1]Субсидия_факт!IM21</f>
        <v>0</v>
      </c>
      <c r="AK19" s="1084"/>
      <c r="AL19" s="1083">
        <f>[1]Субсидия_факт!IS21</f>
        <v>0</v>
      </c>
      <c r="AM19" s="1087">
        <f t="shared" si="8"/>
        <v>0</v>
      </c>
      <c r="AN19" s="1083">
        <f>[1]Субсидия_факт!LK21</f>
        <v>235541.78</v>
      </c>
      <c r="AO19" s="1087">
        <f t="shared" si="9"/>
        <v>235541.78</v>
      </c>
      <c r="AP19" s="1083">
        <f>[1]Субсидия_факт!LY21</f>
        <v>0</v>
      </c>
      <c r="AQ19" s="1084"/>
      <c r="AR19" s="1083">
        <f>[1]Субсидия_факт!MQ21</f>
        <v>0</v>
      </c>
      <c r="AS19" s="1084"/>
      <c r="AT19" s="1083">
        <f>[1]Субсидия_факт!MW21</f>
        <v>0</v>
      </c>
      <c r="AU19" s="1084"/>
      <c r="AV19" s="1083">
        <f>[1]Субсидия_факт!MY21</f>
        <v>0</v>
      </c>
      <c r="AW19" s="1084"/>
      <c r="AX19" s="1083">
        <f>[1]Субсидия_факт!NA21</f>
        <v>3420000</v>
      </c>
      <c r="AY19" s="1087">
        <f t="shared" si="10"/>
        <v>3420000</v>
      </c>
      <c r="AZ19" s="1083">
        <f>[1]Субсидия_факт!NG21</f>
        <v>0</v>
      </c>
      <c r="BA19" s="1084"/>
      <c r="BB19" s="1087">
        <f>[1]Субсидия_факт!NI21</f>
        <v>0</v>
      </c>
      <c r="BC19" s="1084"/>
      <c r="BD19" s="1083">
        <f>[1]Субсидия_факт!NO21</f>
        <v>0</v>
      </c>
      <c r="BE19" s="1084"/>
      <c r="BF19" s="1083">
        <f>[1]Субсидия_факт!NU21</f>
        <v>2400000</v>
      </c>
      <c r="BG19" s="1084">
        <v>2360000</v>
      </c>
      <c r="BH19" s="1083">
        <f>[1]Субсидия_факт!OA21</f>
        <v>166726.32</v>
      </c>
      <c r="BI19" s="1087">
        <f t="shared" si="11"/>
        <v>166726.32</v>
      </c>
      <c r="BJ19" s="1337"/>
      <c r="BK19" s="1084"/>
      <c r="BL19" s="1337">
        <f>[1]Субсидия_факт!PQ21</f>
        <v>0</v>
      </c>
      <c r="BM19" s="1084"/>
    </row>
    <row r="20" spans="1:65" s="1339" customFormat="1" ht="21" customHeight="1" x14ac:dyDescent="0.3">
      <c r="A20" s="1353" t="s">
        <v>100</v>
      </c>
      <c r="B20" s="1315">
        <f t="shared" si="0"/>
        <v>23588260.120000001</v>
      </c>
      <c r="C20" s="1315">
        <f t="shared" si="1"/>
        <v>21927747.5</v>
      </c>
      <c r="D20" s="1083">
        <f>[1]Субсидия_факт!AI22</f>
        <v>220000</v>
      </c>
      <c r="E20" s="1087">
        <f t="shared" si="4"/>
        <v>220000</v>
      </c>
      <c r="F20" s="1083">
        <f>[1]Субсидия_факт!AK22</f>
        <v>0</v>
      </c>
      <c r="G20" s="1084"/>
      <c r="H20" s="1083">
        <f>[1]Субсидия_факт!AM22</f>
        <v>4809092.38</v>
      </c>
      <c r="I20" s="1084">
        <v>4809092.38</v>
      </c>
      <c r="J20" s="1083">
        <f>[1]Субсидия_факт!AO22</f>
        <v>97493.04</v>
      </c>
      <c r="K20" s="1087">
        <f t="shared" si="2"/>
        <v>97493.04</v>
      </c>
      <c r="L20" s="1083">
        <f>[1]Субсидия_факт!AQ22</f>
        <v>0</v>
      </c>
      <c r="M20" s="1084"/>
      <c r="N20" s="1083">
        <f>[1]Субсидия_факт!AS22</f>
        <v>0</v>
      </c>
      <c r="O20" s="1084"/>
      <c r="P20" s="1083">
        <f>[1]Субсидия_факт!CI22</f>
        <v>4341.55</v>
      </c>
      <c r="Q20" s="1087">
        <f t="shared" si="5"/>
        <v>4341.55</v>
      </c>
      <c r="R20" s="1083">
        <f>[1]Субсидия_факт!EU22</f>
        <v>285000</v>
      </c>
      <c r="S20" s="1087">
        <f t="shared" si="6"/>
        <v>285000</v>
      </c>
      <c r="T20" s="1083">
        <f>[1]Субсидия_факт!EW22</f>
        <v>0</v>
      </c>
      <c r="U20" s="1087">
        <f t="shared" si="3"/>
        <v>0</v>
      </c>
      <c r="V20" s="1083">
        <f>[1]Субсидия_факт!EY22</f>
        <v>141750</v>
      </c>
      <c r="W20" s="1087">
        <f t="shared" si="7"/>
        <v>141750</v>
      </c>
      <c r="X20" s="1083">
        <f>[1]Субсидия_факт!FE22</f>
        <v>0</v>
      </c>
      <c r="Y20" s="1084"/>
      <c r="Z20" s="1083">
        <f>[1]Субсидия_факт!FM22</f>
        <v>0</v>
      </c>
      <c r="AA20" s="1084"/>
      <c r="AB20" s="1083">
        <f>[1]Субсидия_факт!GO22</f>
        <v>0</v>
      </c>
      <c r="AC20" s="1084"/>
      <c r="AD20" s="1083">
        <f>[1]Субсидия_факт!GU22</f>
        <v>163415.76999999999</v>
      </c>
      <c r="AE20" s="1084"/>
      <c r="AF20" s="1083"/>
      <c r="AG20" s="1084"/>
      <c r="AH20" s="1083">
        <f>[1]Субсидия_факт!IG22</f>
        <v>13794560.9</v>
      </c>
      <c r="AI20" s="1084">
        <v>12297464.050000001</v>
      </c>
      <c r="AJ20" s="1083">
        <f>[1]Субсидия_факт!IM22</f>
        <v>0</v>
      </c>
      <c r="AK20" s="1084"/>
      <c r="AL20" s="1083">
        <f>[1]Субсидия_факт!IS22</f>
        <v>0</v>
      </c>
      <c r="AM20" s="1087">
        <f t="shared" si="8"/>
        <v>0</v>
      </c>
      <c r="AN20" s="1083">
        <f>[1]Субсидия_факт!LK22</f>
        <v>122091.86</v>
      </c>
      <c r="AO20" s="1087">
        <f t="shared" si="9"/>
        <v>122091.86</v>
      </c>
      <c r="AP20" s="1083">
        <f>[1]Субсидия_факт!LY22</f>
        <v>0</v>
      </c>
      <c r="AQ20" s="1084"/>
      <c r="AR20" s="1083">
        <f>[1]Субсидия_факт!MQ22</f>
        <v>0</v>
      </c>
      <c r="AS20" s="1084"/>
      <c r="AT20" s="1083">
        <f>[1]Субсидия_факт!MW22</f>
        <v>0</v>
      </c>
      <c r="AU20" s="1084"/>
      <c r="AV20" s="1083">
        <f>[1]Субсидия_факт!MY22</f>
        <v>0</v>
      </c>
      <c r="AW20" s="1084"/>
      <c r="AX20" s="1083">
        <f>[1]Субсидия_факт!NA22</f>
        <v>0</v>
      </c>
      <c r="AY20" s="1087">
        <f t="shared" si="10"/>
        <v>0</v>
      </c>
      <c r="AZ20" s="1083">
        <f>[1]Субсидия_факт!NG22</f>
        <v>0</v>
      </c>
      <c r="BA20" s="1084"/>
      <c r="BB20" s="1087">
        <f>[1]Субсидия_факт!NI22</f>
        <v>0</v>
      </c>
      <c r="BC20" s="1084"/>
      <c r="BD20" s="1083">
        <f>[1]Субсидия_факт!NO22</f>
        <v>0</v>
      </c>
      <c r="BE20" s="1084"/>
      <c r="BF20" s="1083">
        <f>[1]Субсидия_факт!NU22</f>
        <v>3682000</v>
      </c>
      <c r="BG20" s="1084">
        <v>3682000</v>
      </c>
      <c r="BH20" s="1083">
        <f>[1]Субсидия_факт!OA22</f>
        <v>268514.62</v>
      </c>
      <c r="BI20" s="1087">
        <f t="shared" si="11"/>
        <v>268514.62</v>
      </c>
      <c r="BJ20" s="1337"/>
      <c r="BK20" s="1084"/>
      <c r="BL20" s="1337">
        <f>[1]Субсидия_факт!PQ22</f>
        <v>0</v>
      </c>
      <c r="BM20" s="1084"/>
    </row>
    <row r="21" spans="1:65" s="1339" customFormat="1" ht="21" customHeight="1" x14ac:dyDescent="0.3">
      <c r="A21" s="1353" t="s">
        <v>101</v>
      </c>
      <c r="B21" s="1315">
        <f t="shared" si="0"/>
        <v>91628408.659999996</v>
      </c>
      <c r="C21" s="1315">
        <f t="shared" si="1"/>
        <v>87876618.169999987</v>
      </c>
      <c r="D21" s="1083">
        <f>[1]Субсидия_факт!AI23</f>
        <v>132000</v>
      </c>
      <c r="E21" s="1087">
        <f t="shared" si="4"/>
        <v>132000</v>
      </c>
      <c r="F21" s="1083">
        <f>[1]Субсидия_факт!AK23</f>
        <v>0</v>
      </c>
      <c r="G21" s="1084"/>
      <c r="H21" s="1083">
        <f>[1]Субсидия_факт!AM23</f>
        <v>0</v>
      </c>
      <c r="I21" s="1084"/>
      <c r="J21" s="1083">
        <f>[1]Субсидия_факт!AO23</f>
        <v>43681.94</v>
      </c>
      <c r="K21" s="1087">
        <f t="shared" si="2"/>
        <v>43681.94</v>
      </c>
      <c r="L21" s="1083">
        <f>[1]Субсидия_факт!AQ23</f>
        <v>0</v>
      </c>
      <c r="M21" s="1084"/>
      <c r="N21" s="1083">
        <f>[1]Субсидия_факт!AS23</f>
        <v>0</v>
      </c>
      <c r="O21" s="1084"/>
      <c r="P21" s="1083">
        <f>[1]Субсидия_факт!CI23</f>
        <v>4341.6499999999996</v>
      </c>
      <c r="Q21" s="1087">
        <f t="shared" si="5"/>
        <v>4341.6499999999996</v>
      </c>
      <c r="R21" s="1083">
        <f>[1]Субсидия_факт!EU23</f>
        <v>0</v>
      </c>
      <c r="S21" s="1087">
        <f t="shared" si="6"/>
        <v>0</v>
      </c>
      <c r="T21" s="1083">
        <f>[1]Субсидия_факт!EW23</f>
        <v>36847.129999999997</v>
      </c>
      <c r="U21" s="1087">
        <f t="shared" si="3"/>
        <v>36847.129999999997</v>
      </c>
      <c r="V21" s="1083">
        <f>[1]Субсидия_факт!EY23</f>
        <v>29160</v>
      </c>
      <c r="W21" s="1087">
        <f t="shared" si="7"/>
        <v>29160</v>
      </c>
      <c r="X21" s="1083">
        <f>[1]Субсидия_факт!FE23</f>
        <v>0</v>
      </c>
      <c r="Y21" s="1084"/>
      <c r="Z21" s="1083">
        <f>[1]Субсидия_факт!FM23</f>
        <v>55956094</v>
      </c>
      <c r="AA21" s="1087">
        <f>Z21</f>
        <v>55956094</v>
      </c>
      <c r="AB21" s="1083">
        <f>[1]Субсидия_факт!GO23</f>
        <v>0</v>
      </c>
      <c r="AC21" s="1084"/>
      <c r="AD21" s="1083">
        <f>[1]Субсидия_факт!GU23</f>
        <v>0</v>
      </c>
      <c r="AE21" s="1084"/>
      <c r="AF21" s="1083"/>
      <c r="AG21" s="1084"/>
      <c r="AH21" s="1083">
        <f>[1]Субсидия_факт!IG23</f>
        <v>27134984.129999999</v>
      </c>
      <c r="AI21" s="1084">
        <v>23411609.640000001</v>
      </c>
      <c r="AJ21" s="1083">
        <f>[1]Субсидия_факт!IM23</f>
        <v>0</v>
      </c>
      <c r="AK21" s="1084"/>
      <c r="AL21" s="1083">
        <f>[1]Субсидия_факт!IS23</f>
        <v>1761500</v>
      </c>
      <c r="AM21" s="1087">
        <f t="shared" si="8"/>
        <v>1761500</v>
      </c>
      <c r="AN21" s="1083">
        <f>[1]Субсидия_факт!LK23</f>
        <v>227049.51</v>
      </c>
      <c r="AO21" s="1087">
        <f t="shared" si="9"/>
        <v>227049.51</v>
      </c>
      <c r="AP21" s="1083">
        <f>[1]Субсидия_факт!LY23</f>
        <v>0</v>
      </c>
      <c r="AQ21" s="1084"/>
      <c r="AR21" s="1083">
        <f>[1]Субсидия_факт!MQ23</f>
        <v>0</v>
      </c>
      <c r="AS21" s="1084"/>
      <c r="AT21" s="1083">
        <f>[1]Субсидия_факт!MW23</f>
        <v>0</v>
      </c>
      <c r="AU21" s="1084"/>
      <c r="AV21" s="1083">
        <f>[1]Субсидия_факт!MY23</f>
        <v>0</v>
      </c>
      <c r="AW21" s="1084"/>
      <c r="AX21" s="1083">
        <f>[1]Субсидия_факт!NA23</f>
        <v>3150000</v>
      </c>
      <c r="AY21" s="1087">
        <f t="shared" si="10"/>
        <v>3150000</v>
      </c>
      <c r="AZ21" s="1083">
        <f>[1]Субсидия_факт!NG23</f>
        <v>0</v>
      </c>
      <c r="BA21" s="1084"/>
      <c r="BB21" s="1087">
        <f>[1]Субсидия_факт!NI23</f>
        <v>0</v>
      </c>
      <c r="BC21" s="1084"/>
      <c r="BD21" s="1083">
        <f>[1]Субсидия_факт!NO23</f>
        <v>0</v>
      </c>
      <c r="BE21" s="1084"/>
      <c r="BF21" s="1083">
        <f>[1]Субсидия_факт!NU23</f>
        <v>2841600</v>
      </c>
      <c r="BG21" s="1084">
        <v>2813184</v>
      </c>
      <c r="BH21" s="1083">
        <f>[1]Субсидия_факт!OA23</f>
        <v>311150.3</v>
      </c>
      <c r="BI21" s="1087">
        <f t="shared" si="11"/>
        <v>311150.3</v>
      </c>
      <c r="BJ21" s="1337"/>
      <c r="BK21" s="1084"/>
      <c r="BL21" s="1337">
        <f>[1]Субсидия_факт!PQ23</f>
        <v>0</v>
      </c>
      <c r="BM21" s="1084"/>
    </row>
    <row r="22" spans="1:65" s="1339" customFormat="1" ht="21" customHeight="1" x14ac:dyDescent="0.3">
      <c r="A22" s="1353" t="s">
        <v>102</v>
      </c>
      <c r="B22" s="1315">
        <f t="shared" si="0"/>
        <v>13234909.359999999</v>
      </c>
      <c r="C22" s="1315">
        <f t="shared" si="1"/>
        <v>11867697.84</v>
      </c>
      <c r="D22" s="1083">
        <f>[1]Субсидия_факт!AI24</f>
        <v>132000</v>
      </c>
      <c r="E22" s="1087">
        <f t="shared" si="4"/>
        <v>132000</v>
      </c>
      <c r="F22" s="1083">
        <f>[1]Субсидия_факт!AK24</f>
        <v>0</v>
      </c>
      <c r="G22" s="1084"/>
      <c r="H22" s="1083">
        <f>[1]Субсидия_факт!AM24</f>
        <v>6029674.2000000002</v>
      </c>
      <c r="I22" s="1084">
        <v>5523810.3799999999</v>
      </c>
      <c r="J22" s="1083">
        <f>[1]Субсидия_факт!AO24</f>
        <v>55710.31</v>
      </c>
      <c r="K22" s="1087">
        <f t="shared" si="2"/>
        <v>55710.31</v>
      </c>
      <c r="L22" s="1083">
        <f>[1]Субсидия_факт!AQ24</f>
        <v>0</v>
      </c>
      <c r="M22" s="1084"/>
      <c r="N22" s="1083">
        <f>[1]Субсидия_факт!AS24</f>
        <v>492632.49</v>
      </c>
      <c r="O22" s="1474">
        <v>492632.49</v>
      </c>
      <c r="P22" s="1083">
        <f>[1]Субсидия_факт!CI24</f>
        <v>4823.92</v>
      </c>
      <c r="Q22" s="1087">
        <f t="shared" si="5"/>
        <v>4823.92</v>
      </c>
      <c r="R22" s="1083">
        <f>[1]Субсидия_факт!EU24</f>
        <v>0</v>
      </c>
      <c r="S22" s="1087">
        <f t="shared" si="6"/>
        <v>0</v>
      </c>
      <c r="T22" s="1083">
        <f>[1]Субсидия_факт!EW24</f>
        <v>53684.71</v>
      </c>
      <c r="U22" s="1087">
        <f t="shared" si="3"/>
        <v>53684.71</v>
      </c>
      <c r="V22" s="1083">
        <f>[1]Субсидия_факт!EY24</f>
        <v>21060</v>
      </c>
      <c r="W22" s="1087">
        <f t="shared" si="7"/>
        <v>21060</v>
      </c>
      <c r="X22" s="1083">
        <f>[1]Субсидия_факт!FE24</f>
        <v>0</v>
      </c>
      <c r="Y22" s="1084"/>
      <c r="Z22" s="1083">
        <f>[1]Субсидия_факт!FM24</f>
        <v>0</v>
      </c>
      <c r="AA22" s="1084"/>
      <c r="AB22" s="1083">
        <f>[1]Субсидия_факт!GO24</f>
        <v>0</v>
      </c>
      <c r="AC22" s="1084"/>
      <c r="AD22" s="1083">
        <f>[1]Субсидия_факт!GU24</f>
        <v>118892.29000000001</v>
      </c>
      <c r="AE22" s="1084"/>
      <c r="AF22" s="1083"/>
      <c r="AG22" s="1084"/>
      <c r="AH22" s="1083">
        <f>[1]Субсидия_факт!IG24</f>
        <v>0</v>
      </c>
      <c r="AI22" s="1084"/>
      <c r="AJ22" s="1083">
        <f>[1]Субсидия_факт!IM24</f>
        <v>0</v>
      </c>
      <c r="AK22" s="1084"/>
      <c r="AL22" s="1083">
        <f>[1]Субсидия_факт!IS24</f>
        <v>0</v>
      </c>
      <c r="AM22" s="1087">
        <f t="shared" si="8"/>
        <v>0</v>
      </c>
      <c r="AN22" s="1083">
        <f>[1]Субсидия_факт!LK24</f>
        <v>243525.41999999998</v>
      </c>
      <c r="AO22" s="1087">
        <f t="shared" si="9"/>
        <v>243525.41999999998</v>
      </c>
      <c r="AP22" s="1083">
        <f>[1]Субсидия_факт!LY24</f>
        <v>0</v>
      </c>
      <c r="AQ22" s="1084"/>
      <c r="AR22" s="1083">
        <f>[1]Субсидия_факт!MQ24</f>
        <v>0</v>
      </c>
      <c r="AS22" s="1084"/>
      <c r="AT22" s="1083">
        <f>[1]Субсидия_факт!MW24</f>
        <v>0</v>
      </c>
      <c r="AU22" s="1084"/>
      <c r="AV22" s="1083">
        <f>[1]Субсидия_факт!MY24</f>
        <v>0</v>
      </c>
      <c r="AW22" s="1084"/>
      <c r="AX22" s="1083">
        <f>[1]Субсидия_факт!NA24</f>
        <v>3150000</v>
      </c>
      <c r="AY22" s="1087">
        <f t="shared" si="10"/>
        <v>3150000</v>
      </c>
      <c r="AZ22" s="1083">
        <f>[1]Субсидия_факт!NG24</f>
        <v>0</v>
      </c>
      <c r="BA22" s="1084"/>
      <c r="BB22" s="1087">
        <f>[1]Субсидия_факт!NI24</f>
        <v>720000</v>
      </c>
      <c r="BC22" s="1084"/>
      <c r="BD22" s="1083">
        <f>[1]Субсидия_факт!NO24</f>
        <v>0</v>
      </c>
      <c r="BE22" s="1084"/>
      <c r="BF22" s="1083">
        <f>[1]Субсидия_факт!NU24</f>
        <v>1915200</v>
      </c>
      <c r="BG22" s="1084">
        <v>1892744.59</v>
      </c>
      <c r="BH22" s="1083">
        <f>[1]Субсидия_факт!OA24</f>
        <v>297706.02</v>
      </c>
      <c r="BI22" s="1087">
        <f t="shared" si="11"/>
        <v>297706.02</v>
      </c>
      <c r="BJ22" s="1337"/>
      <c r="BK22" s="1084"/>
      <c r="BL22" s="1337">
        <f>[1]Субсидия_факт!PQ24</f>
        <v>0</v>
      </c>
      <c r="BM22" s="1084"/>
    </row>
    <row r="23" spans="1:65" s="1339" customFormat="1" ht="21" customHeight="1" x14ac:dyDescent="0.3">
      <c r="A23" s="1353" t="s">
        <v>103</v>
      </c>
      <c r="B23" s="1315">
        <f t="shared" si="0"/>
        <v>47208731.710000008</v>
      </c>
      <c r="C23" s="1315">
        <f t="shared" si="1"/>
        <v>45682493.359999999</v>
      </c>
      <c r="D23" s="1083">
        <f>[1]Субсидия_факт!AI25</f>
        <v>264000</v>
      </c>
      <c r="E23" s="1087">
        <f t="shared" si="4"/>
        <v>264000</v>
      </c>
      <c r="F23" s="1083">
        <f>[1]Субсидия_факт!AK25</f>
        <v>0</v>
      </c>
      <c r="G23" s="1084"/>
      <c r="H23" s="1083">
        <f>[1]Субсидия_факт!AM25</f>
        <v>7209569.96</v>
      </c>
      <c r="I23" s="1084">
        <v>7209569.96</v>
      </c>
      <c r="J23" s="1083">
        <f>[1]Субсидия_факт!AO25</f>
        <v>118384.4</v>
      </c>
      <c r="K23" s="1087">
        <f t="shared" si="2"/>
        <v>118384.4</v>
      </c>
      <c r="L23" s="1083">
        <f>[1]Субсидия_факт!AQ25</f>
        <v>0</v>
      </c>
      <c r="M23" s="1084"/>
      <c r="N23" s="1083">
        <f>[1]Субсидия_факт!AS25</f>
        <v>0</v>
      </c>
      <c r="O23" s="1474"/>
      <c r="P23" s="1083">
        <f>[1]Субсидия_факт!CI25</f>
        <v>7235.92</v>
      </c>
      <c r="Q23" s="1087">
        <f t="shared" si="5"/>
        <v>7235.92</v>
      </c>
      <c r="R23" s="1083">
        <f>[1]Субсидия_факт!EU25</f>
        <v>196426.35</v>
      </c>
      <c r="S23" s="1087">
        <f t="shared" si="6"/>
        <v>196426.35</v>
      </c>
      <c r="T23" s="1083">
        <f>[1]Субсидия_факт!EW25</f>
        <v>453697.4</v>
      </c>
      <c r="U23" s="1087">
        <f t="shared" si="3"/>
        <v>453697.4</v>
      </c>
      <c r="V23" s="1083">
        <f>[1]Субсидия_факт!EY25</f>
        <v>294840</v>
      </c>
      <c r="W23" s="1087">
        <f t="shared" si="7"/>
        <v>294840</v>
      </c>
      <c r="X23" s="1083">
        <f>[1]Субсидия_факт!FE25</f>
        <v>0</v>
      </c>
      <c r="Y23" s="1084"/>
      <c r="Z23" s="1083">
        <f>[1]Субсидия_факт!FM25</f>
        <v>18558184</v>
      </c>
      <c r="AA23" s="1084">
        <f>2776727+8447978+6059697</f>
        <v>17284402</v>
      </c>
      <c r="AB23" s="1083">
        <f>[1]Субсидия_факт!GO25</f>
        <v>0</v>
      </c>
      <c r="AC23" s="1084"/>
      <c r="AD23" s="1083">
        <f>[1]Субсидия_факт!GU25</f>
        <v>137256.35</v>
      </c>
      <c r="AE23" s="1084"/>
      <c r="AF23" s="1083"/>
      <c r="AG23" s="1084"/>
      <c r="AH23" s="1083">
        <f>[1]Субсидия_факт!IG25</f>
        <v>0</v>
      </c>
      <c r="AI23" s="1084"/>
      <c r="AJ23" s="1083">
        <f>[1]Субсидия_факт!IM25</f>
        <v>0</v>
      </c>
      <c r="AK23" s="1084"/>
      <c r="AL23" s="1083">
        <f>[1]Субсидия_факт!IS25</f>
        <v>0</v>
      </c>
      <c r="AM23" s="1087">
        <f t="shared" si="8"/>
        <v>0</v>
      </c>
      <c r="AN23" s="1083">
        <f>[1]Субсидия_факт!LK25</f>
        <v>1133727.8499999999</v>
      </c>
      <c r="AO23" s="1087">
        <f t="shared" si="9"/>
        <v>1133727.8499999999</v>
      </c>
      <c r="AP23" s="1083">
        <f>[1]Субсидия_факт!LY25</f>
        <v>0</v>
      </c>
      <c r="AQ23" s="1084"/>
      <c r="AR23" s="1083">
        <f>[1]Субсидия_факт!MQ25</f>
        <v>0</v>
      </c>
      <c r="AS23" s="1084"/>
      <c r="AT23" s="1083">
        <f>[1]Субсидия_факт!MW25</f>
        <v>0</v>
      </c>
      <c r="AU23" s="1084"/>
      <c r="AV23" s="1083">
        <f>[1]Субсидия_факт!MY25</f>
        <v>0</v>
      </c>
      <c r="AW23" s="1084"/>
      <c r="AX23" s="1083">
        <f>[1]Субсидия_факт!NA25</f>
        <v>12870000</v>
      </c>
      <c r="AY23" s="1087">
        <f t="shared" si="10"/>
        <v>12870000</v>
      </c>
      <c r="AZ23" s="1083">
        <f>[1]Субсидия_факт!NG25</f>
        <v>0</v>
      </c>
      <c r="BA23" s="1084"/>
      <c r="BB23" s="1087">
        <f>[1]Субсидия_факт!NI25</f>
        <v>0</v>
      </c>
      <c r="BC23" s="1084"/>
      <c r="BD23" s="1083">
        <f>[1]Субсидия_факт!NO25</f>
        <v>0</v>
      </c>
      <c r="BE23" s="1084"/>
      <c r="BF23" s="1083">
        <f>[1]Субсидия_факт!NU25</f>
        <v>5760000</v>
      </c>
      <c r="BG23" s="1084">
        <v>5644800</v>
      </c>
      <c r="BH23" s="1083">
        <f>[1]Субсидия_факт!OA25</f>
        <v>205409.48</v>
      </c>
      <c r="BI23" s="1087">
        <f t="shared" si="11"/>
        <v>205409.48</v>
      </c>
      <c r="BJ23" s="1337"/>
      <c r="BK23" s="1084"/>
      <c r="BL23" s="1337">
        <f>[1]Субсидия_факт!PQ25</f>
        <v>0</v>
      </c>
      <c r="BM23" s="1084"/>
    </row>
    <row r="24" spans="1:65" s="1339" customFormat="1" ht="21" customHeight="1" x14ac:dyDescent="0.3">
      <c r="A24" s="1353" t="s">
        <v>104</v>
      </c>
      <c r="B24" s="1315">
        <f t="shared" si="0"/>
        <v>25116930.630000003</v>
      </c>
      <c r="C24" s="1315">
        <f t="shared" si="1"/>
        <v>23851368.280000001</v>
      </c>
      <c r="D24" s="1083">
        <f>[1]Субсидия_факт!AI26</f>
        <v>352000</v>
      </c>
      <c r="E24" s="1087">
        <f t="shared" si="4"/>
        <v>352000</v>
      </c>
      <c r="F24" s="1083">
        <f>[1]Субсидия_факт!AK26</f>
        <v>0</v>
      </c>
      <c r="G24" s="1084"/>
      <c r="H24" s="1083">
        <f>[1]Субсидия_факт!AM26</f>
        <v>3206061.58</v>
      </c>
      <c r="I24" s="1084">
        <v>3206061.58</v>
      </c>
      <c r="J24" s="1083">
        <f>[1]Субсидия_факт!AO26</f>
        <v>75968.600000000006</v>
      </c>
      <c r="K24" s="1087">
        <f t="shared" si="2"/>
        <v>75968.600000000006</v>
      </c>
      <c r="L24" s="1083">
        <f>[1]Субсидия_факт!AQ26</f>
        <v>0</v>
      </c>
      <c r="M24" s="1084"/>
      <c r="N24" s="1083">
        <f>[1]Субсидия_факт!AS26</f>
        <v>329403.59999999998</v>
      </c>
      <c r="O24" s="1474">
        <v>329403.59999999998</v>
      </c>
      <c r="P24" s="1083">
        <f>[1]Субсидия_факт!CI26</f>
        <v>4824</v>
      </c>
      <c r="Q24" s="1087">
        <f t="shared" si="5"/>
        <v>4824</v>
      </c>
      <c r="R24" s="1083">
        <f>[1]Субсидия_факт!EU26</f>
        <v>285000</v>
      </c>
      <c r="S24" s="1087">
        <f t="shared" si="6"/>
        <v>285000</v>
      </c>
      <c r="T24" s="1083">
        <f>[1]Субсидия_факт!EW26</f>
        <v>95295.06</v>
      </c>
      <c r="U24" s="1087">
        <f t="shared" si="3"/>
        <v>95295.06</v>
      </c>
      <c r="V24" s="1083">
        <f>[1]Субсидия_факт!EY26</f>
        <v>136890</v>
      </c>
      <c r="W24" s="1087">
        <f t="shared" si="7"/>
        <v>136890</v>
      </c>
      <c r="X24" s="1083">
        <f>[1]Субсидия_факт!FE26</f>
        <v>0</v>
      </c>
      <c r="Y24" s="1084"/>
      <c r="Z24" s="1083">
        <f>[1]Субсидия_факт!FM26</f>
        <v>11223798.6</v>
      </c>
      <c r="AA24" s="1084">
        <f>5583780+5284121</f>
        <v>10867901</v>
      </c>
      <c r="AB24" s="1083">
        <f>[1]Субсидия_факт!GO26</f>
        <v>0</v>
      </c>
      <c r="AC24" s="1084"/>
      <c r="AD24" s="1083">
        <f>[1]Субсидия_факт!GU26</f>
        <v>122247.15000000001</v>
      </c>
      <c r="AE24" s="1084"/>
      <c r="AF24" s="1083"/>
      <c r="AG24" s="1084"/>
      <c r="AH24" s="1083">
        <f>[1]Субсидия_факт!IG26</f>
        <v>0</v>
      </c>
      <c r="AI24" s="1084"/>
      <c r="AJ24" s="1083">
        <f>[1]Субсидия_факт!IM26</f>
        <v>0</v>
      </c>
      <c r="AK24" s="1084"/>
      <c r="AL24" s="1083">
        <f>[1]Субсидия_факт!IS26</f>
        <v>348335</v>
      </c>
      <c r="AM24" s="1087">
        <f t="shared" si="8"/>
        <v>348335</v>
      </c>
      <c r="AN24" s="1083">
        <f>[1]Субсидия_факт!LK26</f>
        <v>328747.99</v>
      </c>
      <c r="AO24" s="1087">
        <f t="shared" si="9"/>
        <v>328747.99</v>
      </c>
      <c r="AP24" s="1083">
        <f>[1]Субсидия_факт!LY26</f>
        <v>0</v>
      </c>
      <c r="AQ24" s="1084"/>
      <c r="AR24" s="1083">
        <f>[1]Субсидия_факт!MQ26</f>
        <v>0</v>
      </c>
      <c r="AS24" s="1084"/>
      <c r="AT24" s="1083">
        <f>[1]Субсидия_факт!MW26</f>
        <v>0</v>
      </c>
      <c r="AU24" s="1084"/>
      <c r="AV24" s="1083">
        <f>[1]Субсидия_факт!MY26</f>
        <v>0</v>
      </c>
      <c r="AW24" s="1084"/>
      <c r="AX24" s="1083">
        <f>[1]Субсидия_факт!NA26</f>
        <v>3150000</v>
      </c>
      <c r="AY24" s="1087">
        <f t="shared" si="10"/>
        <v>3150000</v>
      </c>
      <c r="AZ24" s="1083">
        <f>[1]Субсидия_факт!NG26</f>
        <v>0</v>
      </c>
      <c r="BA24" s="1084"/>
      <c r="BB24" s="1087">
        <f>[1]Субсидия_факт!NI26</f>
        <v>559137.6</v>
      </c>
      <c r="BC24" s="1084"/>
      <c r="BD24" s="1083">
        <f>[1]Субсидия_факт!NO26</f>
        <v>0</v>
      </c>
      <c r="BE24" s="1084"/>
      <c r="BF24" s="1083">
        <f>[1]Субсидия_факт!NU26</f>
        <v>4565600</v>
      </c>
      <c r="BG24" s="1084">
        <v>4337320</v>
      </c>
      <c r="BH24" s="1083">
        <f>[1]Субсидия_факт!OA26</f>
        <v>333621.45</v>
      </c>
      <c r="BI24" s="1087">
        <f t="shared" si="11"/>
        <v>333621.45</v>
      </c>
      <c r="BJ24" s="1337"/>
      <c r="BK24" s="1084"/>
      <c r="BL24" s="1337">
        <f>[1]Субсидия_факт!PQ26</f>
        <v>0</v>
      </c>
      <c r="BM24" s="1084"/>
    </row>
    <row r="25" spans="1:65" s="1339" customFormat="1" ht="21" customHeight="1" x14ac:dyDescent="0.3">
      <c r="A25" s="1354" t="s">
        <v>105</v>
      </c>
      <c r="B25" s="1315">
        <f t="shared" si="0"/>
        <v>23460426.610000003</v>
      </c>
      <c r="C25" s="1315">
        <f t="shared" si="1"/>
        <v>16474339.959999999</v>
      </c>
      <c r="D25" s="1083">
        <f>[1]Субсидия_факт!AI27</f>
        <v>220000</v>
      </c>
      <c r="E25" s="1087">
        <f t="shared" si="4"/>
        <v>220000</v>
      </c>
      <c r="F25" s="1083">
        <f>[1]Субсидия_факт!AK27</f>
        <v>0</v>
      </c>
      <c r="G25" s="1084"/>
      <c r="H25" s="1083">
        <f>[1]Субсидия_факт!AM27</f>
        <v>8032784.5999999996</v>
      </c>
      <c r="I25" s="1084">
        <v>8032784.5999999996</v>
      </c>
      <c r="J25" s="1083">
        <f>[1]Субсидия_факт!AO27</f>
        <v>73436.31</v>
      </c>
      <c r="K25" s="1087">
        <f t="shared" si="2"/>
        <v>73436.31</v>
      </c>
      <c r="L25" s="1083">
        <f>[1]Субсидия_факт!AQ27</f>
        <v>0</v>
      </c>
      <c r="M25" s="1084"/>
      <c r="N25" s="1083">
        <f>[1]Субсидия_факт!AS27</f>
        <v>403878.87</v>
      </c>
      <c r="O25" s="1474">
        <v>403878.87</v>
      </c>
      <c r="P25" s="1083">
        <f>[1]Субсидия_факт!CI27</f>
        <v>8683.1</v>
      </c>
      <c r="Q25" s="1087">
        <f t="shared" si="5"/>
        <v>8683.1</v>
      </c>
      <c r="R25" s="1083">
        <f>[1]Субсидия_факт!EU27</f>
        <v>328543.95</v>
      </c>
      <c r="S25" s="1087">
        <f t="shared" si="6"/>
        <v>328543.95</v>
      </c>
      <c r="T25" s="1083">
        <f>[1]Субсидия_факт!EW27</f>
        <v>567377.88</v>
      </c>
      <c r="U25" s="1087">
        <f t="shared" si="3"/>
        <v>567377.88</v>
      </c>
      <c r="V25" s="1083">
        <f>[1]Субсидия_факт!EY27</f>
        <v>294840</v>
      </c>
      <c r="W25" s="1087">
        <f t="shared" si="7"/>
        <v>294840</v>
      </c>
      <c r="X25" s="1083">
        <f>[1]Субсидия_факт!FE27</f>
        <v>0</v>
      </c>
      <c r="Y25" s="1084"/>
      <c r="Z25" s="1083">
        <f>[1]Субсидия_факт!FM27</f>
        <v>0</v>
      </c>
      <c r="AA25" s="1084"/>
      <c r="AB25" s="1083">
        <f>[1]Субсидия_факт!GO27</f>
        <v>0</v>
      </c>
      <c r="AC25" s="1084"/>
      <c r="AD25" s="1083">
        <f>[1]Субсидия_факт!GU27</f>
        <v>0</v>
      </c>
      <c r="AE25" s="1084"/>
      <c r="AF25" s="1083"/>
      <c r="AG25" s="1084"/>
      <c r="AH25" s="1083">
        <f>[1]Субсидия_факт!IG27</f>
        <v>6795592.25</v>
      </c>
      <c r="AI25" s="1084">
        <v>190000</v>
      </c>
      <c r="AJ25" s="1083">
        <f>[1]Субсидия_факт!IM27</f>
        <v>0</v>
      </c>
      <c r="AK25" s="1084"/>
      <c r="AL25" s="1083">
        <f>[1]Субсидия_факт!IS27</f>
        <v>916500</v>
      </c>
      <c r="AM25" s="1087">
        <f t="shared" si="8"/>
        <v>916500</v>
      </c>
      <c r="AN25" s="1083">
        <f>[1]Субсидия_факт!LK27</f>
        <v>331829.24000000005</v>
      </c>
      <c r="AO25" s="1087">
        <f t="shared" si="9"/>
        <v>331829.24000000005</v>
      </c>
      <c r="AP25" s="1083">
        <f>[1]Субсидия_факт!LY27</f>
        <v>0</v>
      </c>
      <c r="AQ25" s="1084"/>
      <c r="AR25" s="1083">
        <f>[1]Субсидия_факт!MQ27</f>
        <v>0</v>
      </c>
      <c r="AS25" s="1084"/>
      <c r="AT25" s="1083">
        <f>[1]Субсидия_факт!MW27</f>
        <v>0</v>
      </c>
      <c r="AU25" s="1084"/>
      <c r="AV25" s="1083">
        <f>[1]Субсидия_факт!MY27</f>
        <v>0</v>
      </c>
      <c r="AW25" s="1084"/>
      <c r="AX25" s="1083">
        <f>[1]Субсидия_факт!NA27</f>
        <v>3420000</v>
      </c>
      <c r="AY25" s="1087">
        <f t="shared" si="10"/>
        <v>3420000</v>
      </c>
      <c r="AZ25" s="1083">
        <f>[1]Субсидия_факт!NG27</f>
        <v>0</v>
      </c>
      <c r="BA25" s="1084"/>
      <c r="BB25" s="1087">
        <f>[1]Субсидия_факт!NI27</f>
        <v>0</v>
      </c>
      <c r="BC25" s="1084"/>
      <c r="BD25" s="1083">
        <f>[1]Субсидия_факт!NO27</f>
        <v>0</v>
      </c>
      <c r="BE25" s="1084"/>
      <c r="BF25" s="1083">
        <f>[1]Субсидия_факт!NU27</f>
        <v>1880000</v>
      </c>
      <c r="BG25" s="1084">
        <v>1499505.6</v>
      </c>
      <c r="BH25" s="1083">
        <f>[1]Субсидия_факт!OA27</f>
        <v>186960.41</v>
      </c>
      <c r="BI25" s="1087">
        <f t="shared" si="11"/>
        <v>186960.41</v>
      </c>
      <c r="BJ25" s="1337"/>
      <c r="BK25" s="1084"/>
      <c r="BL25" s="1337">
        <f>[1]Субсидия_факт!PQ27</f>
        <v>0</v>
      </c>
      <c r="BM25" s="1084"/>
    </row>
    <row r="26" spans="1:65" s="1339" customFormat="1" ht="21" customHeight="1" x14ac:dyDescent="0.3">
      <c r="A26" s="1353" t="s">
        <v>113</v>
      </c>
      <c r="B26" s="1088">
        <f t="shared" ref="B26:P26" si="12">SUM(B8:B25)</f>
        <v>601466780.05000007</v>
      </c>
      <c r="C26" s="1088">
        <f t="shared" si="12"/>
        <v>518004924.72999996</v>
      </c>
      <c r="D26" s="1085">
        <f t="shared" si="12"/>
        <v>4304000</v>
      </c>
      <c r="E26" s="1085">
        <f>SUM(E8:E25)</f>
        <v>4304000</v>
      </c>
      <c r="F26" s="1085">
        <f t="shared" ref="F26:G26" si="13">SUM(F8:F25)</f>
        <v>200166</v>
      </c>
      <c r="G26" s="1085">
        <f t="shared" si="13"/>
        <v>200166</v>
      </c>
      <c r="H26" s="1085">
        <f t="shared" si="12"/>
        <v>81326369.5</v>
      </c>
      <c r="I26" s="1085">
        <f t="shared" ref="I26:O26" si="14">SUM(I8:I25)</f>
        <v>80820505.679999992</v>
      </c>
      <c r="J26" s="1085">
        <f>SUM(J8:J25)</f>
        <v>1285135.4700000002</v>
      </c>
      <c r="K26" s="1085">
        <f>SUM(K8:K25)</f>
        <v>1285135.4700000002</v>
      </c>
      <c r="L26" s="1085">
        <f t="shared" si="14"/>
        <v>0</v>
      </c>
      <c r="M26" s="1085">
        <f t="shared" si="14"/>
        <v>0</v>
      </c>
      <c r="N26" s="1085">
        <f t="shared" si="14"/>
        <v>5181627.2399999993</v>
      </c>
      <c r="O26" s="1085">
        <f t="shared" si="14"/>
        <v>4492457.38</v>
      </c>
      <c r="P26" s="1085">
        <f t="shared" si="12"/>
        <v>166810.95000000001</v>
      </c>
      <c r="Q26" s="1085">
        <f t="shared" ref="Q26:AA26" si="15">SUM(Q8:Q25)</f>
        <v>166810.95000000001</v>
      </c>
      <c r="R26" s="1085">
        <f t="shared" si="15"/>
        <v>2945863.6800000002</v>
      </c>
      <c r="S26" s="1085">
        <f t="shared" si="15"/>
        <v>2945863.6800000002</v>
      </c>
      <c r="T26" s="1085">
        <f t="shared" si="15"/>
        <v>2339571.8199999998</v>
      </c>
      <c r="U26" s="1085">
        <f t="shared" si="15"/>
        <v>2339571.8199999998</v>
      </c>
      <c r="V26" s="1085">
        <f t="shared" si="15"/>
        <v>2540160</v>
      </c>
      <c r="W26" s="1085">
        <f t="shared" si="15"/>
        <v>2476980</v>
      </c>
      <c r="X26" s="1085">
        <f t="shared" si="15"/>
        <v>0</v>
      </c>
      <c r="Y26" s="1085">
        <f t="shared" si="15"/>
        <v>0</v>
      </c>
      <c r="Z26" s="1085">
        <f t="shared" si="15"/>
        <v>275315506.19999999</v>
      </c>
      <c r="AA26" s="1085">
        <f t="shared" si="15"/>
        <v>225158741.21000001</v>
      </c>
      <c r="AB26" s="1085">
        <f t="shared" ref="AB26:AC26" si="16">SUM(AB8:AB25)</f>
        <v>0</v>
      </c>
      <c r="AC26" s="1085">
        <f t="shared" si="16"/>
        <v>0</v>
      </c>
      <c r="AD26" s="1340">
        <f t="shared" ref="AD26:AI26" si="17">SUM(AD8:AD25)</f>
        <v>1074241.77</v>
      </c>
      <c r="AE26" s="1085">
        <f t="shared" si="17"/>
        <v>0</v>
      </c>
      <c r="AF26" s="1085">
        <f t="shared" si="17"/>
        <v>0</v>
      </c>
      <c r="AG26" s="1085">
        <f t="shared" si="17"/>
        <v>0</v>
      </c>
      <c r="AH26" s="1340">
        <f t="shared" si="17"/>
        <v>68354191.730000004</v>
      </c>
      <c r="AI26" s="1085">
        <f t="shared" si="17"/>
        <v>43601513.950000003</v>
      </c>
      <c r="AJ26" s="1340">
        <f t="shared" ref="AJ26:AK26" si="18">SUM(AJ8:AJ25)</f>
        <v>0</v>
      </c>
      <c r="AK26" s="1085">
        <f t="shared" si="18"/>
        <v>0</v>
      </c>
      <c r="AL26" s="1085">
        <f>SUM(AL8:AL25)</f>
        <v>3082684.46</v>
      </c>
      <c r="AM26" s="1085">
        <f>SUM(AM8:AM25)</f>
        <v>3082684.46</v>
      </c>
      <c r="AN26" s="1085">
        <f>SUM(AN8:AN25)</f>
        <v>7425997.04</v>
      </c>
      <c r="AO26" s="1085">
        <f>SUM(AO8:AO25)</f>
        <v>7425997.04</v>
      </c>
      <c r="AP26" s="1085">
        <f t="shared" ref="AP26:AQ26" si="19">SUM(AP8:AP25)</f>
        <v>0</v>
      </c>
      <c r="AQ26" s="1085">
        <f t="shared" si="19"/>
        <v>0</v>
      </c>
      <c r="AR26" s="1085">
        <f>SUM(AR8:AR25)</f>
        <v>0</v>
      </c>
      <c r="AS26" s="1085">
        <f>SUM(AS8:AS25)</f>
        <v>0</v>
      </c>
      <c r="AT26" s="1085">
        <f>SUM(AT8:AT25)</f>
        <v>0</v>
      </c>
      <c r="AU26" s="1085">
        <f>SUM(AU8:AU25)</f>
        <v>0</v>
      </c>
      <c r="AV26" s="1085">
        <f t="shared" ref="AV26:AW26" si="20">SUM(AV8:AV25)</f>
        <v>0</v>
      </c>
      <c r="AW26" s="1085">
        <f t="shared" si="20"/>
        <v>0</v>
      </c>
      <c r="AX26" s="1085">
        <f t="shared" ref="AX26:AY26" si="21">SUM(AX8:AX25)</f>
        <v>83745000</v>
      </c>
      <c r="AY26" s="1085">
        <f t="shared" si="21"/>
        <v>83745000</v>
      </c>
      <c r="AZ26" s="1085">
        <f t="shared" ref="AZ26:BC26" si="22">SUM(AZ8:AZ25)</f>
        <v>0</v>
      </c>
      <c r="BA26" s="1085">
        <f t="shared" si="22"/>
        <v>0</v>
      </c>
      <c r="BB26" s="1085">
        <f t="shared" si="22"/>
        <v>1279137.6000000001</v>
      </c>
      <c r="BC26" s="1085">
        <f t="shared" si="22"/>
        <v>0</v>
      </c>
      <c r="BD26" s="1085">
        <f>SUM(BD8:BD25)</f>
        <v>0</v>
      </c>
      <c r="BE26" s="1085">
        <f>SUM(BE8:BE25)</f>
        <v>0</v>
      </c>
      <c r="BF26" s="1085">
        <f t="shared" ref="BF26:BG26" si="23">SUM(BF8:BF25)</f>
        <v>56541200</v>
      </c>
      <c r="BG26" s="1085">
        <f t="shared" si="23"/>
        <v>51600380.500000007</v>
      </c>
      <c r="BH26" s="1085">
        <f t="shared" ref="BH26:BM26" si="24">SUM(BH8:BH25)</f>
        <v>4359116.59</v>
      </c>
      <c r="BI26" s="1085">
        <f t="shared" si="24"/>
        <v>4359116.59</v>
      </c>
      <c r="BJ26" s="1340">
        <f t="shared" si="24"/>
        <v>0</v>
      </c>
      <c r="BK26" s="1085">
        <f t="shared" si="24"/>
        <v>0</v>
      </c>
      <c r="BL26" s="1340">
        <f t="shared" si="24"/>
        <v>0</v>
      </c>
      <c r="BM26" s="1085">
        <f t="shared" si="24"/>
        <v>0</v>
      </c>
    </row>
    <row r="27" spans="1:65" s="1339" customFormat="1" ht="21" customHeight="1" x14ac:dyDescent="0.3">
      <c r="A27" s="1353"/>
      <c r="B27" s="1341"/>
      <c r="C27" s="1341"/>
      <c r="D27" s="1342"/>
      <c r="E27" s="1086"/>
      <c r="F27" s="1086"/>
      <c r="G27" s="1086"/>
      <c r="H27" s="1086"/>
      <c r="I27" s="1086"/>
      <c r="J27" s="1086"/>
      <c r="K27" s="1086"/>
      <c r="L27" s="1086"/>
      <c r="M27" s="1086"/>
      <c r="N27" s="1086"/>
      <c r="O27" s="1086"/>
      <c r="P27" s="1342"/>
      <c r="Q27" s="1086"/>
      <c r="R27" s="1086"/>
      <c r="S27" s="1086"/>
      <c r="T27" s="1086"/>
      <c r="U27" s="1086"/>
      <c r="V27" s="1086"/>
      <c r="W27" s="1086"/>
      <c r="X27" s="1342"/>
      <c r="Y27" s="1086"/>
      <c r="Z27" s="1342"/>
      <c r="AA27" s="1086"/>
      <c r="AB27" s="1342"/>
      <c r="AC27" s="1086"/>
      <c r="AD27" s="1340"/>
      <c r="AE27" s="1086"/>
      <c r="AF27" s="1085"/>
      <c r="AG27" s="1086"/>
      <c r="AH27" s="1340"/>
      <c r="AI27" s="1086"/>
      <c r="AJ27" s="1340"/>
      <c r="AK27" s="1086"/>
      <c r="AL27" s="1083"/>
      <c r="AM27" s="1086"/>
      <c r="AN27" s="1342"/>
      <c r="AO27" s="1086"/>
      <c r="AP27" s="1342"/>
      <c r="AQ27" s="1086"/>
      <c r="AR27" s="1342"/>
      <c r="AS27" s="1086"/>
      <c r="AT27" s="1342"/>
      <c r="AU27" s="1086"/>
      <c r="AV27" s="1083"/>
      <c r="AW27" s="1086"/>
      <c r="AX27" s="1083"/>
      <c r="AY27" s="1086"/>
      <c r="AZ27" s="1083"/>
      <c r="BA27" s="1086"/>
      <c r="BB27" s="1086"/>
      <c r="BC27" s="1086"/>
      <c r="BD27" s="1342"/>
      <c r="BE27" s="1086"/>
      <c r="BF27" s="1342"/>
      <c r="BG27" s="1086"/>
      <c r="BH27" s="1342"/>
      <c r="BI27" s="1086"/>
      <c r="BJ27" s="1340"/>
      <c r="BK27" s="1086"/>
      <c r="BL27" s="1340"/>
      <c r="BM27" s="1086"/>
    </row>
    <row r="28" spans="1:65" s="1339" customFormat="1" ht="21" customHeight="1" x14ac:dyDescent="0.3">
      <c r="A28" s="1353" t="s">
        <v>5</v>
      </c>
      <c r="B28" s="1315">
        <f>D28+H28+J28+P28+R28+T28+X28+Z28+BJ28+AF28+AL28+AN28+AR28+BD28+BH28+AD28+AH28+AT28+L28+V28+N28+AJ28+AV28+BF28+AX28+AP28+BL28+AZ28+AB28+F28+BB28</f>
        <v>355690430.21999997</v>
      </c>
      <c r="C28" s="1315">
        <f>E28+I28+K28+Q28+S28+U28+Y28+AA28+BK28+AG28+AM28+AO28+AS28+BE28+BI28+AE28+AI28+AU28+M28+W28+O28+AK28+AW28+BG28+AY28+AQ28+BM28+BA28+AC28+G28+BC28</f>
        <v>349142698.87999994</v>
      </c>
      <c r="D28" s="1083">
        <f>[1]Субсидия_факт!AI30</f>
        <v>524000</v>
      </c>
      <c r="E28" s="1087">
        <f t="shared" ref="E28:E29" si="25">D28</f>
        <v>524000</v>
      </c>
      <c r="F28" s="1083">
        <f>[1]Субсидия_факт!AK30</f>
        <v>0</v>
      </c>
      <c r="G28" s="1084"/>
      <c r="H28" s="1083">
        <f>[1]Субсидия_факт!AM30</f>
        <v>0</v>
      </c>
      <c r="I28" s="1084"/>
      <c r="J28" s="1083">
        <f>[1]Субсидия_факт!AO30</f>
        <v>177260.07</v>
      </c>
      <c r="K28" s="1087">
        <f>J28</f>
        <v>177260.07</v>
      </c>
      <c r="L28" s="1083">
        <f>[1]Субсидия_факт!AQ30</f>
        <v>0</v>
      </c>
      <c r="M28" s="1084"/>
      <c r="N28" s="1083">
        <f>[1]Субсидия_факт!AS30</f>
        <v>2330829.81</v>
      </c>
      <c r="O28" s="1382">
        <v>2330829.81</v>
      </c>
      <c r="P28" s="1083">
        <f>[1]Субсидия_факт!CI30</f>
        <v>38591.5</v>
      </c>
      <c r="Q28" s="1087">
        <f t="shared" ref="Q28:Q29" si="26">P28</f>
        <v>38591.5</v>
      </c>
      <c r="R28" s="1083">
        <f>[1]Субсидия_факт!EU30</f>
        <v>0</v>
      </c>
      <c r="S28" s="1084"/>
      <c r="T28" s="1083">
        <f>[1]Субсидия_факт!EW30</f>
        <v>0</v>
      </c>
      <c r="U28" s="1084"/>
      <c r="V28" s="1083">
        <f>[1]Субсидия_факт!EY30</f>
        <v>0</v>
      </c>
      <c r="W28" s="1084"/>
      <c r="X28" s="1083">
        <f>[1]Субсидия_факт!FE30</f>
        <v>308025</v>
      </c>
      <c r="Y28" s="1084">
        <v>308025</v>
      </c>
      <c r="Z28" s="1083">
        <f>[1]Субсидия_факт!FM30</f>
        <v>67259358</v>
      </c>
      <c r="AA28" s="1084">
        <f>48644776+15394961</f>
        <v>64039737</v>
      </c>
      <c r="AB28" s="1083">
        <f>[1]Субсидия_факт!GO30</f>
        <v>0</v>
      </c>
      <c r="AC28" s="1084"/>
      <c r="AD28" s="1083">
        <f>[1]Субсидия_факт!GU30</f>
        <v>151528.84</v>
      </c>
      <c r="AE28" s="1084"/>
      <c r="AF28" s="1083">
        <f>[1]Субсидия_факт!GW30</f>
        <v>294000</v>
      </c>
      <c r="AG28" s="1087">
        <f>AF28</f>
        <v>294000</v>
      </c>
      <c r="AH28" s="1083">
        <f>[1]Субсидия_факт!IG30</f>
        <v>3176581.5</v>
      </c>
      <c r="AI28" s="1084"/>
      <c r="AJ28" s="1083">
        <f>[1]Субсидия_факт!IM30</f>
        <v>0</v>
      </c>
      <c r="AK28" s="1084"/>
      <c r="AL28" s="1083">
        <f>[1]Субсидия_факт!IS30</f>
        <v>0</v>
      </c>
      <c r="AM28" s="1087"/>
      <c r="AN28" s="1083">
        <f>[1]Субсидия_факт!LK30</f>
        <v>0</v>
      </c>
      <c r="AO28" s="1087"/>
      <c r="AP28" s="1083">
        <f>[1]Субсидия_факт!LY30</f>
        <v>0</v>
      </c>
      <c r="AQ28" s="1084"/>
      <c r="AR28" s="1083">
        <f>[1]Субсидия_факт!MQ30</f>
        <v>0</v>
      </c>
      <c r="AS28" s="1084"/>
      <c r="AT28" s="1083">
        <f>[1]Субсидия_факт!MW30</f>
        <v>0</v>
      </c>
      <c r="AU28" s="1084"/>
      <c r="AV28" s="1083">
        <f>[1]Субсидия_факт!MY30</f>
        <v>0</v>
      </c>
      <c r="AW28" s="1084"/>
      <c r="AX28" s="1083">
        <f>[1]Субсидия_факт!NA30</f>
        <v>134299999.91999999</v>
      </c>
      <c r="AY28" s="1087">
        <f>AX28</f>
        <v>134299999.91999999</v>
      </c>
      <c r="AZ28" s="1083">
        <f>[1]Субсидия_факт!NG30</f>
        <v>0</v>
      </c>
      <c r="BA28" s="1084"/>
      <c r="BB28" s="1087">
        <f>[1]Субсидия_факт!NI30</f>
        <v>0</v>
      </c>
      <c r="BC28" s="1084"/>
      <c r="BD28" s="1083">
        <f>[1]Субсидия_факт!NO30</f>
        <v>0</v>
      </c>
      <c r="BE28" s="1084"/>
      <c r="BF28" s="1083">
        <f>[1]Субсидия_факт!NU30</f>
        <v>3868800</v>
      </c>
      <c r="BG28" s="1084">
        <v>3868800</v>
      </c>
      <c r="BH28" s="1083">
        <f>[1]Субсидия_факт!OA30</f>
        <v>496719.49</v>
      </c>
      <c r="BI28" s="1087">
        <f t="shared" ref="BI28:BI29" si="27">BH28</f>
        <v>496719.49</v>
      </c>
      <c r="BJ28" s="1083">
        <f>[1]Субсидия_факт!PM30</f>
        <v>142631419</v>
      </c>
      <c r="BK28" s="1087">
        <f>BJ28</f>
        <v>142631419</v>
      </c>
      <c r="BL28" s="1337">
        <f>[1]Субсидия_факт!PQ30</f>
        <v>133317.09</v>
      </c>
      <c r="BM28" s="1087">
        <f>BL28</f>
        <v>133317.09</v>
      </c>
    </row>
    <row r="29" spans="1:65" s="1339" customFormat="1" ht="21" customHeight="1" x14ac:dyDescent="0.3">
      <c r="A29" s="1353" t="s">
        <v>6</v>
      </c>
      <c r="B29" s="1315">
        <f>D29+H29+J29+P29+R29+T29+X29+Z29+BJ29+AF29+AL29+AN29+AR29+BD29+BH29+AD29+AH29+AT29+L29+V29+N29+AJ29+AV29+BF29+AX29+AP29+BL29+AZ29+AB29+F29+BB29</f>
        <v>953591217.2700001</v>
      </c>
      <c r="C29" s="1315">
        <f>E29+I29+K29+Q29+S29+U29+Y29+AA29+BK29+AG29+AM29+AO29+AS29+BE29+BI29+AE29+AI29+AU29+M29+W29+O29+AK29+AW29+BG29+AY29+AQ29+BM29+BA29+AC29+G29+BC29</f>
        <v>860495412.67000008</v>
      </c>
      <c r="D29" s="1083">
        <f>[1]Субсидия_факт!AI31</f>
        <v>572000</v>
      </c>
      <c r="E29" s="1087">
        <f t="shared" si="25"/>
        <v>572000</v>
      </c>
      <c r="F29" s="1083">
        <f>[1]Субсидия_факт!AK31</f>
        <v>1899834</v>
      </c>
      <c r="G29" s="1087">
        <f t="shared" ref="G29" si="28">F29</f>
        <v>1899834</v>
      </c>
      <c r="H29" s="1083">
        <f>[1]Субсидия_факт!AM31</f>
        <v>22223630.5</v>
      </c>
      <c r="I29" s="1084">
        <v>11111815.25</v>
      </c>
      <c r="J29" s="1083">
        <f>[1]Субсидия_факт!AO31</f>
        <v>1037604.46</v>
      </c>
      <c r="K29" s="1087">
        <f>J29</f>
        <v>1037604.46</v>
      </c>
      <c r="L29" s="1083">
        <f>[1]Субсидия_факт!AQ31</f>
        <v>0</v>
      </c>
      <c r="M29" s="1084"/>
      <c r="N29" s="1083">
        <f>[1]Субсидия_факт!AS31</f>
        <v>4487542.95</v>
      </c>
      <c r="O29" s="1382">
        <v>3044142.95</v>
      </c>
      <c r="P29" s="1083">
        <f>[1]Субсидия_факт!CI31</f>
        <v>38591.5</v>
      </c>
      <c r="Q29" s="1087">
        <f t="shared" si="26"/>
        <v>38591.5</v>
      </c>
      <c r="R29" s="1083">
        <f>[1]Субсидия_факт!EU31</f>
        <v>0</v>
      </c>
      <c r="S29" s="1084"/>
      <c r="T29" s="1083">
        <f>[1]Субсидия_факт!EW31</f>
        <v>0</v>
      </c>
      <c r="U29" s="1084"/>
      <c r="V29" s="1083">
        <f>[1]Субсидия_факт!EY31</f>
        <v>0</v>
      </c>
      <c r="W29" s="1084"/>
      <c r="X29" s="1083">
        <f>[1]Субсидия_факт!FE31</f>
        <v>5575810</v>
      </c>
      <c r="Y29" s="1084"/>
      <c r="Z29" s="1083">
        <f>[1]Субсидия_факт!FM31</f>
        <v>73484389</v>
      </c>
      <c r="AA29" s="1084">
        <f>1056430.86+2183148+4942054+16694562</f>
        <v>24876194.859999999</v>
      </c>
      <c r="AB29" s="1083">
        <f>[1]Субсидия_факт!GO31</f>
        <v>0</v>
      </c>
      <c r="AC29" s="1084"/>
      <c r="AD29" s="1083">
        <f>[1]Субсидия_факт!GU31</f>
        <v>749655.19</v>
      </c>
      <c r="AE29" s="1084"/>
      <c r="AF29" s="1083">
        <f>[1]Субсидия_факт!GW31</f>
        <v>0</v>
      </c>
      <c r="AG29" s="1084"/>
      <c r="AH29" s="1083">
        <f>[1]Субсидия_факт!IG31</f>
        <v>30909200</v>
      </c>
      <c r="AI29" s="1084">
        <v>25320669.98</v>
      </c>
      <c r="AJ29" s="1083">
        <f>[1]Субсидия_факт!IM31</f>
        <v>20000000</v>
      </c>
      <c r="AK29" s="1084"/>
      <c r="AL29" s="1083">
        <f>[1]Субсидия_факт!IS31</f>
        <v>0</v>
      </c>
      <c r="AM29" s="1087"/>
      <c r="AN29" s="1083">
        <f>[1]Субсидия_факт!LK31</f>
        <v>0</v>
      </c>
      <c r="AO29" s="1087"/>
      <c r="AP29" s="1083">
        <f>[1]Субсидия_факт!LY31</f>
        <v>75254789.590000004</v>
      </c>
      <c r="AQ29" s="1087">
        <f>AP29</f>
        <v>75254789.590000004</v>
      </c>
      <c r="AR29" s="1083">
        <f>[1]Субсидия_факт!MQ31</f>
        <v>25410000</v>
      </c>
      <c r="AS29" s="1087">
        <f>AR29</f>
        <v>25410000</v>
      </c>
      <c r="AT29" s="1083">
        <f>[1]Субсидия_факт!MW31</f>
        <v>61300000</v>
      </c>
      <c r="AU29" s="1087">
        <f>AT29</f>
        <v>61300000</v>
      </c>
      <c r="AV29" s="1083">
        <f>[1]Субсидия_факт!MY31</f>
        <v>40425000</v>
      </c>
      <c r="AW29" s="1087">
        <f>AV29</f>
        <v>40425000</v>
      </c>
      <c r="AX29" s="1083">
        <f>[1]Субсидия_факт!NA31</f>
        <v>368500000.10000002</v>
      </c>
      <c r="AY29" s="1087">
        <f>AX29</f>
        <v>368500000.10000002</v>
      </c>
      <c r="AZ29" s="1083">
        <f>[1]Субсидия_факт!NG31</f>
        <v>0</v>
      </c>
      <c r="BA29" s="1087"/>
      <c r="BB29" s="1087">
        <f>[1]Субсидия_факт!NI31</f>
        <v>0</v>
      </c>
      <c r="BC29" s="1087"/>
      <c r="BD29" s="1083">
        <f>[1]Субсидия_факт!NO31</f>
        <v>0</v>
      </c>
      <c r="BE29" s="1084"/>
      <c r="BF29" s="1083">
        <f>[1]Субсидия_факт!NU31</f>
        <v>19996800</v>
      </c>
      <c r="BG29" s="1084">
        <v>19978400</v>
      </c>
      <c r="BH29" s="1083">
        <f>[1]Субсидия_факт!OA31</f>
        <v>1414927.29</v>
      </c>
      <c r="BI29" s="1087">
        <f t="shared" si="27"/>
        <v>1414927.29</v>
      </c>
      <c r="BJ29" s="1083">
        <f>[1]Субсидия_факт!PM31</f>
        <v>182637400</v>
      </c>
      <c r="BK29" s="1087">
        <f>BJ29</f>
        <v>182637400</v>
      </c>
      <c r="BL29" s="1337">
        <f>[1]Субсидия_факт!PQ31</f>
        <v>17674042.690000001</v>
      </c>
      <c r="BM29" s="1087">
        <f>BL29</f>
        <v>17674042.690000001</v>
      </c>
    </row>
    <row r="30" spans="1:65" s="1339" customFormat="1" ht="21" customHeight="1" x14ac:dyDescent="0.3">
      <c r="A30" s="1353" t="s">
        <v>7</v>
      </c>
      <c r="B30" s="1088">
        <f t="shared" ref="B30:P30" si="29">SUM(B28:B29)</f>
        <v>1309281647.49</v>
      </c>
      <c r="C30" s="1088">
        <f t="shared" si="29"/>
        <v>1209638111.55</v>
      </c>
      <c r="D30" s="1088">
        <f t="shared" si="29"/>
        <v>1096000</v>
      </c>
      <c r="E30" s="1088">
        <f>SUM(E28:E29)</f>
        <v>1096000</v>
      </c>
      <c r="F30" s="1088">
        <f t="shared" ref="F30" si="30">SUM(F28:F29)</f>
        <v>1899834</v>
      </c>
      <c r="G30" s="1088">
        <f t="shared" ref="G30" si="31">SUM(G28:G29)</f>
        <v>1899834</v>
      </c>
      <c r="H30" s="1088">
        <f t="shared" si="29"/>
        <v>22223630.5</v>
      </c>
      <c r="I30" s="1088">
        <f t="shared" ref="I30:O30" si="32">SUM(I28:I29)</f>
        <v>11111815.25</v>
      </c>
      <c r="J30" s="1088">
        <f>SUM(J28:J29)</f>
        <v>1214864.53</v>
      </c>
      <c r="K30" s="1088">
        <f>SUM(K28:K29)</f>
        <v>1214864.53</v>
      </c>
      <c r="L30" s="1088">
        <f t="shared" si="32"/>
        <v>0</v>
      </c>
      <c r="M30" s="1088">
        <f t="shared" si="32"/>
        <v>0</v>
      </c>
      <c r="N30" s="1088">
        <f t="shared" si="32"/>
        <v>6818372.7599999998</v>
      </c>
      <c r="O30" s="1088">
        <f t="shared" si="32"/>
        <v>5374972.7599999998</v>
      </c>
      <c r="P30" s="1088">
        <f t="shared" si="29"/>
        <v>77183</v>
      </c>
      <c r="Q30" s="1088">
        <f t="shared" ref="Q30:AA30" si="33">SUM(Q28:Q29)</f>
        <v>77183</v>
      </c>
      <c r="R30" s="1088">
        <f t="shared" si="33"/>
        <v>0</v>
      </c>
      <c r="S30" s="1088">
        <f t="shared" si="33"/>
        <v>0</v>
      </c>
      <c r="T30" s="1088">
        <f t="shared" si="33"/>
        <v>0</v>
      </c>
      <c r="U30" s="1088">
        <f t="shared" si="33"/>
        <v>0</v>
      </c>
      <c r="V30" s="1088">
        <f t="shared" si="33"/>
        <v>0</v>
      </c>
      <c r="W30" s="1088">
        <f t="shared" si="33"/>
        <v>0</v>
      </c>
      <c r="X30" s="1088">
        <f t="shared" si="33"/>
        <v>5883835</v>
      </c>
      <c r="Y30" s="1088">
        <f t="shared" si="33"/>
        <v>308025</v>
      </c>
      <c r="Z30" s="1088">
        <f t="shared" si="33"/>
        <v>140743747</v>
      </c>
      <c r="AA30" s="1088">
        <f t="shared" si="33"/>
        <v>88915931.859999999</v>
      </c>
      <c r="AB30" s="1088">
        <f t="shared" ref="AB30:AC30" si="34">SUM(AB28:AB29)</f>
        <v>0</v>
      </c>
      <c r="AC30" s="1088">
        <f t="shared" si="34"/>
        <v>0</v>
      </c>
      <c r="AD30" s="1343">
        <f t="shared" ref="AD30:AI30" si="35">SUM(AD28:AD29)</f>
        <v>901184.02999999991</v>
      </c>
      <c r="AE30" s="1088">
        <f t="shared" si="35"/>
        <v>0</v>
      </c>
      <c r="AF30" s="1343">
        <f t="shared" si="35"/>
        <v>294000</v>
      </c>
      <c r="AG30" s="1088">
        <f t="shared" si="35"/>
        <v>294000</v>
      </c>
      <c r="AH30" s="1343">
        <f t="shared" si="35"/>
        <v>34085781.5</v>
      </c>
      <c r="AI30" s="1088">
        <f t="shared" si="35"/>
        <v>25320669.98</v>
      </c>
      <c r="AJ30" s="1343">
        <f t="shared" ref="AJ30:AK30" si="36">SUM(AJ28:AJ29)</f>
        <v>20000000</v>
      </c>
      <c r="AK30" s="1088">
        <f t="shared" si="36"/>
        <v>0</v>
      </c>
      <c r="AL30" s="1088">
        <f>SUM(AL28:AL29)</f>
        <v>0</v>
      </c>
      <c r="AM30" s="1088">
        <f>SUM(AM28:AM29)</f>
        <v>0</v>
      </c>
      <c r="AN30" s="1088">
        <f>SUM(AN28:AN29)</f>
        <v>0</v>
      </c>
      <c r="AO30" s="1088">
        <f>SUM(AO28:AO29)</f>
        <v>0</v>
      </c>
      <c r="AP30" s="1088">
        <f t="shared" ref="AP30:AQ30" si="37">SUM(AP28:AP29)</f>
        <v>75254789.590000004</v>
      </c>
      <c r="AQ30" s="1088">
        <f t="shared" si="37"/>
        <v>75254789.590000004</v>
      </c>
      <c r="AR30" s="1088">
        <f>SUM(AR28:AR29)</f>
        <v>25410000</v>
      </c>
      <c r="AS30" s="1088">
        <f>SUM(AS28:AS29)</f>
        <v>25410000</v>
      </c>
      <c r="AT30" s="1088">
        <f t="shared" ref="AT30:AY30" si="38">SUM(AT28:AT29)</f>
        <v>61300000</v>
      </c>
      <c r="AU30" s="1088">
        <f t="shared" si="38"/>
        <v>61300000</v>
      </c>
      <c r="AV30" s="1088">
        <f t="shared" si="38"/>
        <v>40425000</v>
      </c>
      <c r="AW30" s="1088">
        <f t="shared" si="38"/>
        <v>40425000</v>
      </c>
      <c r="AX30" s="1088">
        <f t="shared" si="38"/>
        <v>502800000.01999998</v>
      </c>
      <c r="AY30" s="1088">
        <f t="shared" si="38"/>
        <v>502800000.01999998</v>
      </c>
      <c r="AZ30" s="1088">
        <f t="shared" ref="AZ30:BA30" si="39">SUM(AZ28:AZ29)</f>
        <v>0</v>
      </c>
      <c r="BA30" s="1088">
        <f t="shared" si="39"/>
        <v>0</v>
      </c>
      <c r="BB30" s="1088">
        <f t="shared" ref="BB30:BC30" si="40">SUM(BB28:BB29)</f>
        <v>0</v>
      </c>
      <c r="BC30" s="1088">
        <f t="shared" si="40"/>
        <v>0</v>
      </c>
      <c r="BD30" s="1088">
        <f>SUM(BD28:BD29)</f>
        <v>0</v>
      </c>
      <c r="BE30" s="1088">
        <f>SUM(BE28:BE29)</f>
        <v>0</v>
      </c>
      <c r="BF30" s="1088">
        <f t="shared" ref="BF30:BG30" si="41">SUM(BF28:BF29)</f>
        <v>23865600</v>
      </c>
      <c r="BG30" s="1088">
        <f t="shared" si="41"/>
        <v>23847200</v>
      </c>
      <c r="BH30" s="1343">
        <f t="shared" ref="BH30:BM30" si="42">SUM(BH28:BH29)</f>
        <v>1911646.78</v>
      </c>
      <c r="BI30" s="1343">
        <f t="shared" si="42"/>
        <v>1911646.78</v>
      </c>
      <c r="BJ30" s="1343">
        <f t="shared" si="42"/>
        <v>325268819</v>
      </c>
      <c r="BK30" s="1088">
        <f t="shared" si="42"/>
        <v>325268819</v>
      </c>
      <c r="BL30" s="1343">
        <f t="shared" si="42"/>
        <v>17807359.780000001</v>
      </c>
      <c r="BM30" s="1088">
        <f t="shared" si="42"/>
        <v>17807359.780000001</v>
      </c>
    </row>
    <row r="31" spans="1:65" s="1339" customFormat="1" ht="21" customHeight="1" x14ac:dyDescent="0.3">
      <c r="A31" s="1353"/>
      <c r="B31" s="1341"/>
      <c r="C31" s="1341"/>
      <c r="D31" s="1085"/>
      <c r="E31" s="1085"/>
      <c r="F31" s="1085"/>
      <c r="G31" s="1085"/>
      <c r="H31" s="1085"/>
      <c r="I31" s="1085"/>
      <c r="J31" s="1085"/>
      <c r="K31" s="1085"/>
      <c r="L31" s="1085"/>
      <c r="M31" s="1085"/>
      <c r="N31" s="1085"/>
      <c r="O31" s="1085"/>
      <c r="P31" s="1089"/>
      <c r="Q31" s="1085"/>
      <c r="R31" s="1085"/>
      <c r="S31" s="1085"/>
      <c r="T31" s="1085"/>
      <c r="U31" s="1085"/>
      <c r="V31" s="1085"/>
      <c r="W31" s="1085"/>
      <c r="X31" s="1089"/>
      <c r="Y31" s="1085"/>
      <c r="Z31" s="1089"/>
      <c r="AA31" s="1085"/>
      <c r="AB31" s="1089"/>
      <c r="AC31" s="1085"/>
      <c r="AD31" s="1085"/>
      <c r="AE31" s="1085"/>
      <c r="AF31" s="1085"/>
      <c r="AG31" s="1085"/>
      <c r="AH31" s="1085"/>
      <c r="AI31" s="1085"/>
      <c r="AJ31" s="1085"/>
      <c r="AK31" s="1085"/>
      <c r="AL31" s="1085"/>
      <c r="AM31" s="1085"/>
      <c r="AN31" s="1089"/>
      <c r="AO31" s="1085"/>
      <c r="AP31" s="1085"/>
      <c r="AQ31" s="1085"/>
      <c r="AR31" s="1085"/>
      <c r="AS31" s="1085"/>
      <c r="AT31" s="1089"/>
      <c r="AU31" s="1085"/>
      <c r="AV31" s="1089"/>
      <c r="AW31" s="1085"/>
      <c r="AX31" s="1089"/>
      <c r="AY31" s="1085"/>
      <c r="AZ31" s="1089"/>
      <c r="BA31" s="1085"/>
      <c r="BB31" s="1085"/>
      <c r="BC31" s="1085"/>
      <c r="BD31" s="1085"/>
      <c r="BE31" s="1085"/>
      <c r="BF31" s="1085"/>
      <c r="BG31" s="1085"/>
      <c r="BH31" s="1085"/>
      <c r="BI31" s="1085"/>
      <c r="BJ31" s="1085"/>
      <c r="BK31" s="1085"/>
      <c r="BL31" s="1085"/>
      <c r="BM31" s="1085"/>
    </row>
    <row r="32" spans="1:65" s="1339" customFormat="1" ht="21" customHeight="1" x14ac:dyDescent="0.3">
      <c r="A32" s="1353"/>
      <c r="B32" s="1341"/>
      <c r="C32" s="1341"/>
      <c r="D32" s="1085"/>
      <c r="E32" s="1085"/>
      <c r="F32" s="1085"/>
      <c r="G32" s="1085"/>
      <c r="H32" s="1085"/>
      <c r="I32" s="1085"/>
      <c r="J32" s="1085"/>
      <c r="K32" s="1085"/>
      <c r="L32" s="1085"/>
      <c r="M32" s="1085"/>
      <c r="N32" s="1085"/>
      <c r="O32" s="1085"/>
      <c r="P32" s="1089"/>
      <c r="Q32" s="1085"/>
      <c r="R32" s="1085"/>
      <c r="S32" s="1085"/>
      <c r="T32" s="1085"/>
      <c r="U32" s="1085"/>
      <c r="V32" s="1085"/>
      <c r="W32" s="1085"/>
      <c r="X32" s="1089"/>
      <c r="Y32" s="1085"/>
      <c r="Z32" s="1089"/>
      <c r="AA32" s="1085"/>
      <c r="AB32" s="1089"/>
      <c r="AC32" s="1085"/>
      <c r="AD32" s="1085"/>
      <c r="AE32" s="1085"/>
      <c r="AF32" s="1085"/>
      <c r="AG32" s="1085"/>
      <c r="AH32" s="1085"/>
      <c r="AI32" s="1085"/>
      <c r="AJ32" s="1085"/>
      <c r="AK32" s="1085"/>
      <c r="AL32" s="1085"/>
      <c r="AM32" s="1085"/>
      <c r="AN32" s="1089"/>
      <c r="AO32" s="1085"/>
      <c r="AP32" s="1085"/>
      <c r="AQ32" s="1085"/>
      <c r="AR32" s="1085"/>
      <c r="AS32" s="1085"/>
      <c r="AT32" s="1089"/>
      <c r="AU32" s="1085"/>
      <c r="AV32" s="1089"/>
      <c r="AW32" s="1085"/>
      <c r="AX32" s="1089"/>
      <c r="AY32" s="1085"/>
      <c r="AZ32" s="1089"/>
      <c r="BA32" s="1085"/>
      <c r="BB32" s="1085"/>
      <c r="BC32" s="1085"/>
      <c r="BD32" s="1085"/>
      <c r="BE32" s="1085"/>
      <c r="BF32" s="1085"/>
      <c r="BG32" s="1085"/>
      <c r="BH32" s="1085"/>
      <c r="BI32" s="1085"/>
      <c r="BJ32" s="1085"/>
      <c r="BK32" s="1085"/>
      <c r="BL32" s="1085"/>
      <c r="BM32" s="1085"/>
    </row>
    <row r="33" spans="1:65" s="1344" customFormat="1" ht="21" customHeight="1" x14ac:dyDescent="0.3">
      <c r="A33" s="1355" t="s">
        <v>43</v>
      </c>
      <c r="B33" s="1088">
        <f>B26+B30</f>
        <v>1910748427.54</v>
      </c>
      <c r="C33" s="1088">
        <f>C26+C30</f>
        <v>1727643036.28</v>
      </c>
      <c r="D33" s="1088">
        <f>D26+D30</f>
        <v>5400000</v>
      </c>
      <c r="E33" s="1088">
        <f>E26+E30</f>
        <v>5400000</v>
      </c>
      <c r="F33" s="1088">
        <f t="shared" ref="F33:G33" si="43">F26+F30</f>
        <v>2100000</v>
      </c>
      <c r="G33" s="1088">
        <f t="shared" si="43"/>
        <v>2100000</v>
      </c>
      <c r="H33" s="1088">
        <f t="shared" ref="H33:AA33" si="44">H26+H30</f>
        <v>103550000</v>
      </c>
      <c r="I33" s="1088">
        <f t="shared" si="44"/>
        <v>91932320.929999992</v>
      </c>
      <c r="J33" s="1088">
        <f>J26+J30</f>
        <v>2500000</v>
      </c>
      <c r="K33" s="1088">
        <f>K26+K30</f>
        <v>2500000</v>
      </c>
      <c r="L33" s="1088">
        <f t="shared" si="44"/>
        <v>0</v>
      </c>
      <c r="M33" s="1088">
        <f t="shared" si="44"/>
        <v>0</v>
      </c>
      <c r="N33" s="1088">
        <f t="shared" si="44"/>
        <v>12000000</v>
      </c>
      <c r="O33" s="1088">
        <f t="shared" si="44"/>
        <v>9867430.1400000006</v>
      </c>
      <c r="P33" s="1088">
        <f t="shared" si="44"/>
        <v>243993.95</v>
      </c>
      <c r="Q33" s="1088">
        <f t="shared" si="44"/>
        <v>243993.95</v>
      </c>
      <c r="R33" s="1088">
        <f t="shared" si="44"/>
        <v>2945863.6800000002</v>
      </c>
      <c r="S33" s="1088">
        <f t="shared" si="44"/>
        <v>2945863.6800000002</v>
      </c>
      <c r="T33" s="1088">
        <f t="shared" si="44"/>
        <v>2339571.8199999998</v>
      </c>
      <c r="U33" s="1088">
        <f t="shared" si="44"/>
        <v>2339571.8199999998</v>
      </c>
      <c r="V33" s="1088">
        <f t="shared" si="44"/>
        <v>2540160</v>
      </c>
      <c r="W33" s="1088">
        <f t="shared" si="44"/>
        <v>2476980</v>
      </c>
      <c r="X33" s="1088">
        <f t="shared" si="44"/>
        <v>5883835</v>
      </c>
      <c r="Y33" s="1088">
        <f t="shared" si="44"/>
        <v>308025</v>
      </c>
      <c r="Z33" s="1088">
        <f t="shared" si="44"/>
        <v>416059253.19999999</v>
      </c>
      <c r="AA33" s="1088">
        <f t="shared" si="44"/>
        <v>314074673.06999999</v>
      </c>
      <c r="AB33" s="1088">
        <f t="shared" ref="AB33:AC33" si="45">AB26+AB30</f>
        <v>0</v>
      </c>
      <c r="AC33" s="1088">
        <f t="shared" si="45"/>
        <v>0</v>
      </c>
      <c r="AD33" s="1343">
        <f t="shared" ref="AD33:AI33" si="46">AD26+AD30</f>
        <v>1975425.7999999998</v>
      </c>
      <c r="AE33" s="1088">
        <f t="shared" si="46"/>
        <v>0</v>
      </c>
      <c r="AF33" s="1343">
        <f t="shared" si="46"/>
        <v>294000</v>
      </c>
      <c r="AG33" s="1088">
        <f t="shared" si="46"/>
        <v>294000</v>
      </c>
      <c r="AH33" s="1343">
        <f t="shared" si="46"/>
        <v>102439973.23</v>
      </c>
      <c r="AI33" s="1088">
        <f t="shared" si="46"/>
        <v>68922183.930000007</v>
      </c>
      <c r="AJ33" s="1343">
        <f t="shared" ref="AJ33:AK33" si="47">AJ26+AJ30</f>
        <v>20000000</v>
      </c>
      <c r="AK33" s="1088">
        <f t="shared" si="47"/>
        <v>0</v>
      </c>
      <c r="AL33" s="1088">
        <f>AL26+AL30</f>
        <v>3082684.46</v>
      </c>
      <c r="AM33" s="1088">
        <f>AM26+AM30</f>
        <v>3082684.46</v>
      </c>
      <c r="AN33" s="1088">
        <f>AN26+AN30</f>
        <v>7425997.04</v>
      </c>
      <c r="AO33" s="1088">
        <f>AO26+AO30</f>
        <v>7425997.04</v>
      </c>
      <c r="AP33" s="1088">
        <f t="shared" ref="AP33:AQ33" si="48">AP26+AP30</f>
        <v>75254789.590000004</v>
      </c>
      <c r="AQ33" s="1088">
        <f t="shared" si="48"/>
        <v>75254789.590000004</v>
      </c>
      <c r="AR33" s="1088">
        <f>AR26+AR30</f>
        <v>25410000</v>
      </c>
      <c r="AS33" s="1088">
        <f t="shared" ref="AS33:BI33" si="49">AS26+AS30</f>
        <v>25410000</v>
      </c>
      <c r="AT33" s="1088">
        <f t="shared" si="49"/>
        <v>61300000</v>
      </c>
      <c r="AU33" s="1088">
        <f t="shared" si="49"/>
        <v>61300000</v>
      </c>
      <c r="AV33" s="1088">
        <f t="shared" si="49"/>
        <v>40425000</v>
      </c>
      <c r="AW33" s="1088">
        <f t="shared" si="49"/>
        <v>40425000</v>
      </c>
      <c r="AX33" s="1088">
        <f t="shared" ref="AX33:AY33" si="50">AX26+AX30</f>
        <v>586545000.01999998</v>
      </c>
      <c r="AY33" s="1088">
        <f t="shared" si="50"/>
        <v>586545000.01999998</v>
      </c>
      <c r="AZ33" s="1088">
        <f t="shared" ref="AZ33:BA33" si="51">AZ26+AZ30</f>
        <v>0</v>
      </c>
      <c r="BA33" s="1088">
        <f t="shared" si="51"/>
        <v>0</v>
      </c>
      <c r="BB33" s="1088">
        <f t="shared" ref="BB33:BC33" si="52">BB26+BB30</f>
        <v>1279137.6000000001</v>
      </c>
      <c r="BC33" s="1088">
        <f t="shared" si="52"/>
        <v>0</v>
      </c>
      <c r="BD33" s="1088">
        <f t="shared" si="49"/>
        <v>0</v>
      </c>
      <c r="BE33" s="1088">
        <f t="shared" si="49"/>
        <v>0</v>
      </c>
      <c r="BF33" s="1088">
        <f t="shared" ref="BF33:BG33" si="53">BF26+BF30</f>
        <v>80406800</v>
      </c>
      <c r="BG33" s="1088">
        <f t="shared" si="53"/>
        <v>75447580.5</v>
      </c>
      <c r="BH33" s="1343">
        <f t="shared" si="49"/>
        <v>6270763.3700000001</v>
      </c>
      <c r="BI33" s="1343">
        <f t="shared" si="49"/>
        <v>6270763.3700000001</v>
      </c>
      <c r="BJ33" s="1343">
        <f>BJ26+BJ30</f>
        <v>325268819</v>
      </c>
      <c r="BK33" s="1088">
        <f>BK26+BK30</f>
        <v>325268819</v>
      </c>
      <c r="BL33" s="1343">
        <f>BL26+BL30</f>
        <v>17807359.780000001</v>
      </c>
      <c r="BM33" s="1088">
        <f>BM26+BM30</f>
        <v>17807359.780000001</v>
      </c>
    </row>
    <row r="34" spans="1:65" s="1338" customFormat="1" ht="15.6" x14ac:dyDescent="0.3">
      <c r="B34" s="1345"/>
      <c r="C34" s="1345"/>
      <c r="D34" s="1345"/>
      <c r="E34" s="1345"/>
      <c r="F34" s="1345"/>
      <c r="G34" s="1345"/>
      <c r="H34" s="1345"/>
      <c r="I34" s="1345"/>
      <c r="J34" s="1345"/>
      <c r="K34" s="1345"/>
      <c r="L34" s="1345"/>
      <c r="M34" s="1345"/>
      <c r="N34" s="1345"/>
      <c r="O34" s="1345"/>
      <c r="P34" s="1346"/>
      <c r="Q34" s="1346"/>
      <c r="R34" s="1345"/>
      <c r="S34" s="1345"/>
      <c r="T34" s="1345"/>
      <c r="U34" s="1345"/>
      <c r="V34" s="1345"/>
      <c r="W34" s="1345"/>
      <c r="X34" s="1346"/>
      <c r="Y34" s="1346"/>
      <c r="Z34" s="1346"/>
      <c r="AA34" s="1346"/>
      <c r="AB34" s="1346"/>
      <c r="AC34" s="1346"/>
      <c r="AD34" s="1345"/>
      <c r="AE34" s="1345"/>
      <c r="AF34" s="1345"/>
      <c r="AG34" s="1345"/>
      <c r="AH34" s="1345"/>
      <c r="AI34" s="1345"/>
      <c r="AJ34" s="1345"/>
      <c r="AK34" s="1345"/>
      <c r="AL34" s="1345"/>
      <c r="AM34" s="1345"/>
      <c r="AN34" s="1346"/>
      <c r="AO34" s="1346"/>
      <c r="AP34" s="1345"/>
      <c r="AQ34" s="1345"/>
      <c r="AR34" s="1345"/>
      <c r="AS34" s="1345"/>
      <c r="AT34" s="1346"/>
      <c r="AU34" s="1346"/>
      <c r="AV34" s="1346"/>
      <c r="AW34" s="1346"/>
      <c r="AX34" s="1346"/>
      <c r="AY34" s="1346"/>
      <c r="AZ34" s="1346"/>
      <c r="BA34" s="1346"/>
      <c r="BB34" s="1346"/>
      <c r="BC34" s="1346"/>
      <c r="BD34" s="1345"/>
      <c r="BE34" s="1345"/>
      <c r="BF34" s="1345"/>
      <c r="BG34" s="1345"/>
      <c r="BH34" s="1345"/>
      <c r="BI34" s="1345"/>
      <c r="BJ34" s="1345"/>
      <c r="BK34" s="1345"/>
      <c r="BL34" s="1345"/>
      <c r="BM34" s="1345"/>
    </row>
    <row r="35" spans="1:65" s="1339" customFormat="1" ht="15.6" x14ac:dyDescent="0.3">
      <c r="B35" s="1347"/>
      <c r="C35" s="1347"/>
      <c r="D35" s="1347"/>
      <c r="E35" s="1347"/>
      <c r="F35" s="1347"/>
      <c r="G35" s="1347"/>
      <c r="H35" s="1347"/>
      <c r="I35" s="1347"/>
      <c r="J35" s="1347"/>
      <c r="K35" s="1347"/>
      <c r="L35" s="1347"/>
      <c r="M35" s="1347"/>
      <c r="N35" s="1347"/>
      <c r="O35" s="1347"/>
      <c r="P35" s="1348"/>
      <c r="Q35" s="1348"/>
      <c r="R35" s="1347"/>
      <c r="S35" s="1347"/>
      <c r="T35" s="1347"/>
      <c r="U35" s="1347"/>
      <c r="V35" s="1347"/>
      <c r="W35" s="1347"/>
      <c r="X35" s="1348"/>
      <c r="Y35" s="1348"/>
      <c r="Z35" s="1348"/>
      <c r="AA35" s="1348"/>
      <c r="AB35" s="1348"/>
      <c r="AC35" s="1348"/>
      <c r="AD35" s="1347"/>
      <c r="AE35" s="1347"/>
      <c r="AF35" s="1347"/>
      <c r="AG35" s="1347"/>
      <c r="AH35" s="1347"/>
      <c r="AI35" s="1347"/>
      <c r="AJ35" s="1347"/>
      <c r="AK35" s="1347"/>
      <c r="AL35" s="1347"/>
      <c r="AM35" s="1347"/>
      <c r="AN35" s="1348"/>
      <c r="AO35" s="1348"/>
      <c r="AP35" s="1347"/>
      <c r="AQ35" s="1347"/>
      <c r="AR35" s="1347"/>
      <c r="AS35" s="1347"/>
      <c r="AT35" s="1348"/>
      <c r="AU35" s="1348"/>
      <c r="AV35" s="1348"/>
      <c r="AW35" s="1348"/>
      <c r="AX35" s="1348"/>
      <c r="AY35" s="1348"/>
      <c r="AZ35" s="1348"/>
      <c r="BA35" s="1348"/>
      <c r="BB35" s="1348"/>
      <c r="BC35" s="1348"/>
      <c r="BD35" s="1347"/>
      <c r="BE35" s="1347"/>
      <c r="BF35" s="1347"/>
      <c r="BG35" s="1347"/>
      <c r="BH35" s="1347"/>
      <c r="BI35" s="1347"/>
      <c r="BJ35" s="1347"/>
      <c r="BK35" s="1347"/>
      <c r="BL35" s="1347"/>
      <c r="BM35" s="1347"/>
    </row>
    <row r="36" spans="1:65" s="1339" customFormat="1" ht="46.8" x14ac:dyDescent="0.3">
      <c r="A36" s="1349" t="s">
        <v>62</v>
      </c>
      <c r="B36" s="1315">
        <f>D36+H36+J36+P36+R36+T36+X36+Z36+BJ36+AF36+AL36+AN36+AR36+BD36+BH36+AD36+AH36+AT36+L36+V36+N36+AJ36+AV36+BF36+AX36+AP36+BL36+AZ36+AB36+F36+BB36</f>
        <v>978251243.54999983</v>
      </c>
      <c r="C36" s="1315">
        <f>E36+I36+K36+Q36+S36+U36+Y36+AA36+BK36+AG36+AM36+AO36+AS36+BE36+BI36+AE36+AI36+AU36+M36+W36+O36+AK36+AW36+BG36+AY36+AQ36+BM36+BA36+AC36+G36+BC36</f>
        <v>683213965.33000004</v>
      </c>
      <c r="D36" s="1350"/>
      <c r="E36" s="1350"/>
      <c r="F36" s="1350"/>
      <c r="G36" s="1350"/>
      <c r="H36" s="1350"/>
      <c r="I36" s="1350"/>
      <c r="J36" s="1350"/>
      <c r="K36" s="1350"/>
      <c r="L36" s="1350"/>
      <c r="M36" s="1350"/>
      <c r="N36" s="1350"/>
      <c r="O36" s="1350"/>
      <c r="P36" s="1350">
        <f>'Прочая  субсидия_БП'!H26</f>
        <v>56006.05</v>
      </c>
      <c r="Q36" s="1350">
        <f>'Прочая  субсидия_БП'!I26</f>
        <v>56006.05</v>
      </c>
      <c r="R36" s="1350"/>
      <c r="S36" s="1350"/>
      <c r="T36" s="1350"/>
      <c r="U36" s="1350"/>
      <c r="V36" s="1350"/>
      <c r="W36" s="1350"/>
      <c r="X36" s="1350">
        <f>'Прочая  субсидия_БП'!N26</f>
        <v>29197274</v>
      </c>
      <c r="Y36" s="1350">
        <f>'Прочая  субсидия_БП'!O26</f>
        <v>20270095</v>
      </c>
      <c r="Z36" s="1350">
        <f>'Прочая  субсидия_БП'!T26</f>
        <v>178238296.5</v>
      </c>
      <c r="AA36" s="1350">
        <f>'Прочая  субсидия_БП'!U26</f>
        <v>142909719</v>
      </c>
      <c r="AB36" s="1350">
        <f>'Прочая  субсидия_БП'!Z26</f>
        <v>0</v>
      </c>
      <c r="AC36" s="1350">
        <f>'Прочая  субсидия_БП'!AA26</f>
        <v>0</v>
      </c>
      <c r="AD36" s="1350"/>
      <c r="AE36" s="1350"/>
      <c r="AF36" s="1350">
        <f>'Прочая  субсидия_БП'!AF26</f>
        <v>5736241.2999999998</v>
      </c>
      <c r="AG36" s="1350">
        <f>'Прочая  субсидия_БП'!AG26</f>
        <v>5736241.2999999998</v>
      </c>
      <c r="AH36" s="1350">
        <f>'Прочая  субсидия_БП'!AR26</f>
        <v>105740231.55</v>
      </c>
      <c r="AI36" s="1350">
        <f>'Прочая  субсидия_БП'!AS26</f>
        <v>33437040.509999998</v>
      </c>
      <c r="AJ36" s="1350">
        <f>'Прочая  субсидия_БП'!AX26</f>
        <v>0</v>
      </c>
      <c r="AK36" s="1350">
        <f>'Прочая  субсидия_БП'!AY26</f>
        <v>0</v>
      </c>
      <c r="AL36" s="1350"/>
      <c r="AM36" s="1350"/>
      <c r="AN36" s="1350"/>
      <c r="AO36" s="1350"/>
      <c r="AP36" s="1350">
        <f>'Прочая  субсидия_БП'!BD26</f>
        <v>35596207</v>
      </c>
      <c r="AQ36" s="1350">
        <f>'Прочая  субсидия_БП'!BE26</f>
        <v>27634553.280000001</v>
      </c>
      <c r="AR36" s="1350">
        <f>'Прочая  субсидия_БП'!BJ26</f>
        <v>2109517</v>
      </c>
      <c r="AS36" s="1350">
        <f>'Прочая  субсидия_БП'!BK26</f>
        <v>2109517</v>
      </c>
      <c r="AT36" s="1350"/>
      <c r="AU36" s="1350"/>
      <c r="AV36" s="1350"/>
      <c r="AW36" s="1350"/>
      <c r="AX36" s="1350">
        <f>'Прочая  субсидия_БП'!BP26</f>
        <v>24444000</v>
      </c>
      <c r="AY36" s="1350">
        <f>'Прочая  субсидия_БП'!BQ26</f>
        <v>24174000</v>
      </c>
      <c r="AZ36" s="1350"/>
      <c r="BA36" s="1350"/>
      <c r="BB36" s="1350">
        <f>'Прочая  субсидия_БП'!BV26</f>
        <v>638574.30000000005</v>
      </c>
      <c r="BC36" s="1350">
        <f>'Прочая  субсидия_БП'!BW26</f>
        <v>0</v>
      </c>
      <c r="BD36" s="1350">
        <f>'Прочая  субсидия_БП'!CB26</f>
        <v>2494479</v>
      </c>
      <c r="BE36" s="1350">
        <f>'Прочая  субсидия_БП'!CC26</f>
        <v>2494479</v>
      </c>
      <c r="BF36" s="1350">
        <f>'Прочая  субсидия_БП'!CH26</f>
        <v>19587200</v>
      </c>
      <c r="BG36" s="1350">
        <f>'Прочая  субсидия_БП'!CI26</f>
        <v>19202767.34</v>
      </c>
      <c r="BH36" s="1350">
        <f>'Прочая  субсидия_БП'!CN26</f>
        <v>9093236.6300000008</v>
      </c>
      <c r="BI36" s="1350">
        <f>'Прочая  субсидия_БП'!CO26</f>
        <v>9093236.6300000008</v>
      </c>
      <c r="BJ36" s="1350">
        <f>'Прочая  субсидия_БП'!CT26</f>
        <v>513127340</v>
      </c>
      <c r="BK36" s="1350">
        <f>'Прочая  субсидия_БП'!CU26</f>
        <v>343903670</v>
      </c>
      <c r="BL36" s="1350">
        <f>'Прочая  субсидия_БП'!CZ26</f>
        <v>52192640.219999999</v>
      </c>
      <c r="BM36" s="1350">
        <f>'Прочая  субсидия_БП'!DA26</f>
        <v>52192640.219999999</v>
      </c>
    </row>
    <row r="37" spans="1:65" s="1339" customFormat="1" ht="15.6" x14ac:dyDescent="0.3">
      <c r="A37" s="1349"/>
      <c r="B37" s="1351"/>
      <c r="C37" s="1351"/>
      <c r="D37" s="1351"/>
      <c r="E37" s="1351"/>
      <c r="F37" s="1351"/>
      <c r="G37" s="1351"/>
      <c r="H37" s="1351"/>
      <c r="I37" s="1351"/>
      <c r="J37" s="1351"/>
      <c r="K37" s="1351"/>
      <c r="L37" s="1351"/>
      <c r="M37" s="1351"/>
      <c r="N37" s="1351"/>
      <c r="O37" s="1351"/>
      <c r="P37" s="1351"/>
      <c r="Q37" s="1351"/>
      <c r="R37" s="1351"/>
      <c r="S37" s="1351"/>
      <c r="T37" s="1351"/>
      <c r="U37" s="1351"/>
      <c r="V37" s="1351"/>
      <c r="W37" s="1351"/>
      <c r="X37" s="1351"/>
      <c r="Y37" s="1351"/>
      <c r="Z37" s="1351"/>
      <c r="AA37" s="1351"/>
      <c r="AB37" s="1351"/>
      <c r="AC37" s="1351"/>
      <c r="AD37" s="1351"/>
      <c r="AE37" s="1351"/>
      <c r="AF37" s="1351"/>
      <c r="AG37" s="1351"/>
      <c r="AH37" s="1351"/>
      <c r="AI37" s="1351"/>
      <c r="AJ37" s="1351"/>
      <c r="AK37" s="1351"/>
      <c r="AL37" s="1351"/>
      <c r="AM37" s="1351"/>
      <c r="AN37" s="1351"/>
      <c r="AO37" s="1351"/>
      <c r="AP37" s="1351"/>
      <c r="AQ37" s="1351"/>
      <c r="AR37" s="1351"/>
      <c r="AS37" s="1351"/>
      <c r="AT37" s="1351"/>
      <c r="AU37" s="1351"/>
      <c r="AV37" s="1351"/>
      <c r="AW37" s="1351"/>
      <c r="AX37" s="1351"/>
      <c r="AY37" s="1351"/>
      <c r="AZ37" s="1351"/>
      <c r="BA37" s="1351"/>
      <c r="BB37" s="1351"/>
      <c r="BC37" s="1351"/>
      <c r="BD37" s="1351"/>
      <c r="BE37" s="1351"/>
      <c r="BF37" s="1351"/>
      <c r="BG37" s="1351"/>
      <c r="BH37" s="1351"/>
      <c r="BI37" s="1351"/>
      <c r="BJ37" s="1351"/>
      <c r="BK37" s="1351"/>
      <c r="BL37" s="1351"/>
      <c r="BM37" s="1351"/>
    </row>
    <row r="38" spans="1:65" s="1338" customFormat="1" ht="46.8" x14ac:dyDescent="0.3">
      <c r="A38" s="1352" t="s">
        <v>63</v>
      </c>
      <c r="B38" s="1343">
        <f t="shared" ref="B38:Q38" si="54">B33+B36</f>
        <v>2888999671.0899997</v>
      </c>
      <c r="C38" s="1343">
        <f t="shared" si="54"/>
        <v>2410857001.6100001</v>
      </c>
      <c r="D38" s="1343">
        <f t="shared" si="54"/>
        <v>5400000</v>
      </c>
      <c r="E38" s="1343">
        <f t="shared" si="54"/>
        <v>5400000</v>
      </c>
      <c r="F38" s="1343">
        <f t="shared" ref="F38:G38" si="55">F33+F36</f>
        <v>2100000</v>
      </c>
      <c r="G38" s="1343">
        <f t="shared" si="55"/>
        <v>2100000</v>
      </c>
      <c r="H38" s="1343">
        <f t="shared" si="54"/>
        <v>103550000</v>
      </c>
      <c r="I38" s="1343">
        <f t="shared" si="54"/>
        <v>91932320.929999992</v>
      </c>
      <c r="J38" s="1343">
        <f>J33+J36</f>
        <v>2500000</v>
      </c>
      <c r="K38" s="1343">
        <f>K33+K36</f>
        <v>2500000</v>
      </c>
      <c r="L38" s="1343">
        <f t="shared" ref="L38:O38" si="56">L33+L36</f>
        <v>0</v>
      </c>
      <c r="M38" s="1343">
        <f t="shared" si="56"/>
        <v>0</v>
      </c>
      <c r="N38" s="1343">
        <f t="shared" si="56"/>
        <v>12000000</v>
      </c>
      <c r="O38" s="1343">
        <f t="shared" si="56"/>
        <v>9867430.1400000006</v>
      </c>
      <c r="P38" s="1343">
        <f t="shared" si="54"/>
        <v>300000</v>
      </c>
      <c r="Q38" s="1343">
        <f t="shared" si="54"/>
        <v>300000</v>
      </c>
      <c r="R38" s="1343">
        <f t="shared" ref="R38:AA38" si="57">R33+R36</f>
        <v>2945863.6800000002</v>
      </c>
      <c r="S38" s="1343">
        <f t="shared" si="57"/>
        <v>2945863.6800000002</v>
      </c>
      <c r="T38" s="1343">
        <f t="shared" si="57"/>
        <v>2339571.8199999998</v>
      </c>
      <c r="U38" s="1343">
        <f t="shared" si="57"/>
        <v>2339571.8199999998</v>
      </c>
      <c r="V38" s="1343">
        <f t="shared" si="57"/>
        <v>2540160</v>
      </c>
      <c r="W38" s="1343">
        <f t="shared" si="57"/>
        <v>2476980</v>
      </c>
      <c r="X38" s="1343">
        <f t="shared" si="57"/>
        <v>35081109</v>
      </c>
      <c r="Y38" s="1343">
        <f t="shared" si="57"/>
        <v>20578120</v>
      </c>
      <c r="Z38" s="1343">
        <f t="shared" si="57"/>
        <v>594297549.70000005</v>
      </c>
      <c r="AA38" s="1343">
        <f t="shared" si="57"/>
        <v>456984392.06999999</v>
      </c>
      <c r="AB38" s="1343">
        <f t="shared" ref="AB38:AC38" si="58">AB33+AB36</f>
        <v>0</v>
      </c>
      <c r="AC38" s="1343">
        <f t="shared" si="58"/>
        <v>0</v>
      </c>
      <c r="AD38" s="1343">
        <f t="shared" ref="AD38:AI38" si="59">AD33+AD36</f>
        <v>1975425.7999999998</v>
      </c>
      <c r="AE38" s="1343">
        <f t="shared" si="59"/>
        <v>0</v>
      </c>
      <c r="AF38" s="1343">
        <f t="shared" si="59"/>
        <v>6030241.2999999998</v>
      </c>
      <c r="AG38" s="1343">
        <f t="shared" si="59"/>
        <v>6030241.2999999998</v>
      </c>
      <c r="AH38" s="1343">
        <f t="shared" si="59"/>
        <v>208180204.78</v>
      </c>
      <c r="AI38" s="1343">
        <f t="shared" si="59"/>
        <v>102359224.44</v>
      </c>
      <c r="AJ38" s="1343">
        <f t="shared" ref="AJ38:AK38" si="60">AJ33+AJ36</f>
        <v>20000000</v>
      </c>
      <c r="AK38" s="1343">
        <f t="shared" si="60"/>
        <v>0</v>
      </c>
      <c r="AL38" s="1343">
        <f>AL33+AL36</f>
        <v>3082684.46</v>
      </c>
      <c r="AM38" s="1343">
        <f>AM33+AM36</f>
        <v>3082684.46</v>
      </c>
      <c r="AN38" s="1343">
        <f>AN33+AN36</f>
        <v>7425997.04</v>
      </c>
      <c r="AO38" s="1343">
        <f>AO33+AO36</f>
        <v>7425997.04</v>
      </c>
      <c r="AP38" s="1343">
        <f t="shared" ref="AP38:AQ38" si="61">AP33+AP36</f>
        <v>110850996.59</v>
      </c>
      <c r="AQ38" s="1343">
        <f t="shared" si="61"/>
        <v>102889342.87</v>
      </c>
      <c r="AR38" s="1343">
        <f>AR33+AR36</f>
        <v>27519517</v>
      </c>
      <c r="AS38" s="1343">
        <f>AS33+AS36</f>
        <v>27519517</v>
      </c>
      <c r="AT38" s="1343">
        <f t="shared" ref="AT38:BI38" si="62">AT33+AT36</f>
        <v>61300000</v>
      </c>
      <c r="AU38" s="1343">
        <f t="shared" si="62"/>
        <v>61300000</v>
      </c>
      <c r="AV38" s="1343">
        <f t="shared" si="62"/>
        <v>40425000</v>
      </c>
      <c r="AW38" s="1343">
        <f t="shared" si="62"/>
        <v>40425000</v>
      </c>
      <c r="AX38" s="1343">
        <f t="shared" ref="AX38:AY38" si="63">AX33+AX36</f>
        <v>610989000.01999998</v>
      </c>
      <c r="AY38" s="1343">
        <f t="shared" si="63"/>
        <v>610719000.01999998</v>
      </c>
      <c r="AZ38" s="1343">
        <f t="shared" ref="AZ38:BC38" si="64">AZ33+AZ36</f>
        <v>0</v>
      </c>
      <c r="BA38" s="1343">
        <f t="shared" si="64"/>
        <v>0</v>
      </c>
      <c r="BB38" s="1343">
        <f t="shared" si="64"/>
        <v>1917711.9000000001</v>
      </c>
      <c r="BC38" s="1343">
        <f t="shared" si="64"/>
        <v>0</v>
      </c>
      <c r="BD38" s="1343">
        <f t="shared" si="62"/>
        <v>2494479</v>
      </c>
      <c r="BE38" s="1343">
        <f t="shared" si="62"/>
        <v>2494479</v>
      </c>
      <c r="BF38" s="1343">
        <f t="shared" ref="BF38:BG38" si="65">BF33+BF36</f>
        <v>99994000</v>
      </c>
      <c r="BG38" s="1343">
        <f t="shared" si="65"/>
        <v>94650347.840000004</v>
      </c>
      <c r="BH38" s="1343">
        <f t="shared" si="62"/>
        <v>15364000</v>
      </c>
      <c r="BI38" s="1343">
        <f t="shared" si="62"/>
        <v>15364000</v>
      </c>
      <c r="BJ38" s="1343">
        <f>BJ33+BJ36</f>
        <v>838396159</v>
      </c>
      <c r="BK38" s="1343">
        <f>BK33+BK36</f>
        <v>669172489</v>
      </c>
      <c r="BL38" s="1343">
        <f>BL33+BL36</f>
        <v>70000000</v>
      </c>
      <c r="BM38" s="1343">
        <f>BM33+BM36</f>
        <v>70000000</v>
      </c>
    </row>
    <row r="39" spans="1:65" s="414" customFormat="1" ht="16.8" x14ac:dyDescent="0.3">
      <c r="A39" s="419"/>
      <c r="B39" s="412"/>
      <c r="C39" s="412"/>
      <c r="D39" s="412"/>
      <c r="E39" s="1090">
        <v>5400000</v>
      </c>
      <c r="F39" s="420"/>
      <c r="G39" s="1090">
        <v>2100000</v>
      </c>
      <c r="H39" s="420"/>
      <c r="I39" s="1090">
        <v>91932320.930000007</v>
      </c>
      <c r="J39" s="420"/>
      <c r="K39" s="1090">
        <v>2500000</v>
      </c>
      <c r="L39" s="420"/>
      <c r="M39" s="716">
        <v>0</v>
      </c>
      <c r="N39" s="420"/>
      <c r="O39" s="1090">
        <v>9867430.1400000006</v>
      </c>
      <c r="P39" s="412"/>
      <c r="Q39" s="1090">
        <v>300000</v>
      </c>
      <c r="R39" s="420"/>
      <c r="S39" s="1090">
        <v>2945863.6800000002</v>
      </c>
      <c r="T39" s="420"/>
      <c r="U39" s="1090">
        <v>2339571.8199999998</v>
      </c>
      <c r="V39" s="420"/>
      <c r="W39" s="1090">
        <v>2476980</v>
      </c>
      <c r="X39" s="412"/>
      <c r="Y39" s="1090">
        <v>20578120</v>
      </c>
      <c r="Z39" s="412"/>
      <c r="AA39" s="412"/>
      <c r="AB39" s="412"/>
      <c r="AC39" s="716"/>
      <c r="AD39" s="412"/>
      <c r="AE39" s="1090">
        <v>0</v>
      </c>
      <c r="AF39" s="412"/>
      <c r="AG39" s="1090">
        <v>6030241.2999999998</v>
      </c>
      <c r="AH39" s="412"/>
      <c r="AI39" s="1090">
        <v>102359224.44</v>
      </c>
      <c r="AJ39" s="412"/>
      <c r="AK39" s="1090">
        <v>0</v>
      </c>
      <c r="AL39" s="412"/>
      <c r="AM39" s="1090">
        <v>3082684.46</v>
      </c>
      <c r="AN39" s="412"/>
      <c r="AO39" s="1090">
        <v>7425997.04</v>
      </c>
      <c r="AP39" s="412"/>
      <c r="AQ39" s="1090">
        <v>102889342.87</v>
      </c>
      <c r="AR39" s="412"/>
      <c r="AS39" s="1090">
        <v>27519517</v>
      </c>
      <c r="AT39" s="412"/>
      <c r="AU39" s="1090">
        <v>61300000</v>
      </c>
      <c r="AV39" s="412"/>
      <c r="AW39" s="1090">
        <v>40425000</v>
      </c>
      <c r="AX39" s="412"/>
      <c r="AY39" s="1090">
        <v>610719000.01999998</v>
      </c>
      <c r="AZ39" s="412"/>
      <c r="BA39" s="1090"/>
      <c r="BB39" s="412"/>
      <c r="BC39" s="1090">
        <v>0</v>
      </c>
      <c r="BD39" s="412"/>
      <c r="BE39" s="1090">
        <v>2494479</v>
      </c>
      <c r="BF39" s="412"/>
      <c r="BG39" s="1090">
        <v>94650347.840000004</v>
      </c>
      <c r="BH39" s="412"/>
      <c r="BI39" s="1090">
        <v>15364000</v>
      </c>
      <c r="BJ39" s="412"/>
      <c r="BK39" s="1090">
        <v>669172489</v>
      </c>
      <c r="BL39" s="412"/>
      <c r="BM39" s="1090">
        <v>70000000</v>
      </c>
    </row>
    <row r="40" spans="1:65" s="415" customFormat="1" ht="15.6" x14ac:dyDescent="0.3">
      <c r="E40" s="420">
        <f>E39-E38</f>
        <v>0</v>
      </c>
      <c r="F40" s="420"/>
      <c r="G40" s="420">
        <f>G39-G38</f>
        <v>0</v>
      </c>
      <c r="H40" s="420"/>
      <c r="I40" s="420">
        <f>I39-I38</f>
        <v>0</v>
      </c>
      <c r="J40" s="420"/>
      <c r="K40" s="420">
        <f>K39-K38</f>
        <v>0</v>
      </c>
      <c r="L40" s="420"/>
      <c r="M40" s="420">
        <f>M39-M38</f>
        <v>0</v>
      </c>
      <c r="N40" s="420"/>
      <c r="O40" s="420">
        <f>O39-O38</f>
        <v>0</v>
      </c>
      <c r="Q40" s="420">
        <f>Q39-Q38</f>
        <v>0</v>
      </c>
      <c r="R40" s="420"/>
      <c r="S40" s="420">
        <f>S39-S38</f>
        <v>0</v>
      </c>
      <c r="T40" s="420"/>
      <c r="U40" s="420">
        <f>U39-U38</f>
        <v>0</v>
      </c>
      <c r="V40" s="420"/>
      <c r="W40" s="420">
        <f>W39-W38</f>
        <v>0</v>
      </c>
      <c r="Y40" s="420">
        <f>Y39-Y38</f>
        <v>0</v>
      </c>
      <c r="AC40" s="420">
        <f>AC39-AC38</f>
        <v>0</v>
      </c>
      <c r="AE40" s="420">
        <f>AE39-AE38</f>
        <v>0</v>
      </c>
      <c r="AG40" s="420">
        <f>AG39-AG38</f>
        <v>0</v>
      </c>
      <c r="AI40" s="420">
        <f>AI39-AI38</f>
        <v>0</v>
      </c>
      <c r="AK40" s="420">
        <f>AK39-AK38</f>
        <v>0</v>
      </c>
      <c r="AM40" s="420">
        <f>AM39-AM38</f>
        <v>0</v>
      </c>
      <c r="AO40" s="420">
        <f>AO39-AO38</f>
        <v>0</v>
      </c>
      <c r="AQ40" s="420">
        <f>AQ39-AQ38</f>
        <v>0</v>
      </c>
      <c r="AS40" s="420">
        <f>AS39-AS38</f>
        <v>0</v>
      </c>
      <c r="AU40" s="420">
        <f>AU39-AU38</f>
        <v>0</v>
      </c>
      <c r="AW40" s="420">
        <f>AW39-AW38</f>
        <v>0</v>
      </c>
      <c r="AX40" s="420"/>
      <c r="AY40" s="420">
        <f>AY39-AY38</f>
        <v>0</v>
      </c>
      <c r="AZ40" s="420"/>
      <c r="BA40" s="420">
        <f>BA39-BA38</f>
        <v>0</v>
      </c>
      <c r="BB40" s="420"/>
      <c r="BC40" s="420">
        <f>BC39-BC38</f>
        <v>0</v>
      </c>
      <c r="BE40" s="420">
        <f>BE39-BE38</f>
        <v>0</v>
      </c>
      <c r="BG40" s="420">
        <f>BG39-BG38</f>
        <v>0</v>
      </c>
      <c r="BI40" s="420">
        <f>BI39-BI38</f>
        <v>0</v>
      </c>
      <c r="BK40" s="420">
        <f>BK39-BK38</f>
        <v>0</v>
      </c>
      <c r="BM40" s="420">
        <f>BM39-BM38</f>
        <v>0</v>
      </c>
    </row>
    <row r="41" spans="1:65" s="415" customFormat="1" ht="15.6" x14ac:dyDescent="0.3">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410"/>
      <c r="BG41" s="410"/>
      <c r="BH41" s="410"/>
      <c r="BI41" s="410"/>
      <c r="BJ41" s="410"/>
      <c r="BK41" s="410"/>
    </row>
    <row r="42" spans="1:65" s="414" customFormat="1" ht="15.6" x14ac:dyDescent="0.3">
      <c r="A42" s="418" t="s">
        <v>139</v>
      </c>
      <c r="B42" s="148">
        <f>SUM(B43:B45)</f>
        <v>927114996.61000001</v>
      </c>
      <c r="C42" s="148">
        <f>SUM(C43:C45)</f>
        <v>907265663.81999993</v>
      </c>
      <c r="J42" s="413"/>
      <c r="K42" s="413"/>
      <c r="L42" s="413"/>
      <c r="M42" s="413"/>
      <c r="N42" s="413"/>
      <c r="O42" s="413"/>
      <c r="R42" s="413"/>
      <c r="S42" s="413"/>
      <c r="T42" s="413"/>
      <c r="U42" s="413"/>
      <c r="V42" s="413"/>
      <c r="W42" s="413"/>
    </row>
    <row r="43" spans="1:65" s="414" customFormat="1" ht="15.6" x14ac:dyDescent="0.3">
      <c r="A43" s="421" t="s">
        <v>145</v>
      </c>
      <c r="B43" s="1315">
        <f>D43+H43+J43+P43+R43+T43+X43+Z43+BJ43+AF43+AL43+AN43+AR43+BD43+BH43+AD43+AH43+AT43+L43+V43+N43+AJ43+AV43+BF43+AX43+AP43+BL43+AZ43+AB43+F43+BB43</f>
        <v>165071369.5</v>
      </c>
      <c r="C43" s="1315">
        <f>E43+I43+K43+Q43+S43+U43+Y43+AA43+BK43+AG43+AM43+AO43+AS43+BE43+BI43+AE43+AI43+AU43+M43+W43+O43+AK43+AW43+BG43+AY43+AQ43+BM43+BA43+AC43+G43+BC43</f>
        <v>164565505.68000001</v>
      </c>
      <c r="H43" s="413">
        <f>H26</f>
        <v>81326369.5</v>
      </c>
      <c r="I43" s="413">
        <f>I26</f>
        <v>80820505.679999992</v>
      </c>
      <c r="J43" s="413"/>
      <c r="K43" s="413"/>
      <c r="L43" s="413">
        <f>L26</f>
        <v>0</v>
      </c>
      <c r="M43" s="413">
        <f>M26</f>
        <v>0</v>
      </c>
      <c r="N43" s="413"/>
      <c r="O43" s="413"/>
      <c r="R43" s="413"/>
      <c r="S43" s="413"/>
      <c r="T43" s="413"/>
      <c r="U43" s="413"/>
      <c r="V43" s="413"/>
      <c r="W43" s="413"/>
      <c r="Z43" s="413"/>
      <c r="AA43" s="413"/>
      <c r="AP43" s="413">
        <f t="shared" ref="AP43:AQ43" si="66">AP26</f>
        <v>0</v>
      </c>
      <c r="AQ43" s="413">
        <f t="shared" si="66"/>
        <v>0</v>
      </c>
      <c r="AT43" s="413">
        <f t="shared" ref="AT43:AY43" si="67">AT26</f>
        <v>0</v>
      </c>
      <c r="AU43" s="413">
        <f t="shared" si="67"/>
        <v>0</v>
      </c>
      <c r="AV43" s="413">
        <f t="shared" si="67"/>
        <v>0</v>
      </c>
      <c r="AW43" s="413">
        <f t="shared" si="67"/>
        <v>0</v>
      </c>
      <c r="AX43" s="413">
        <f t="shared" si="67"/>
        <v>83745000</v>
      </c>
      <c r="AY43" s="413">
        <f t="shared" si="67"/>
        <v>83745000</v>
      </c>
      <c r="AZ43" s="413"/>
      <c r="BA43" s="413"/>
      <c r="BB43" s="413"/>
      <c r="BC43" s="413"/>
    </row>
    <row r="44" spans="1:65" s="414" customFormat="1" ht="15.6" x14ac:dyDescent="0.3">
      <c r="A44" s="421" t="s">
        <v>146</v>
      </c>
      <c r="B44" s="1315">
        <f>D44+H44+J44+P44+R44+T44+X44+Z44+BJ44+AF44+AL44+AN44+AR44+BD44+BH44+AD44+AH44+AT44+L44+V44+N44+AJ44+AV44+BF44+AX44+AP44+BL44+AZ44+AB44+F44+BB44</f>
        <v>702003420.11000001</v>
      </c>
      <c r="C44" s="1315">
        <f>E44+I44+K44+Q44+S44+U44+Y44+AA44+BK44+AG44+AM44+AO44+AS44+BE44+BI44+AE44+AI44+AU44+M44+W44+O44+AK44+AW44+BG44+AY44+AQ44+BM44+BA44+AC44+G44+BC44</f>
        <v>690891604.86000001</v>
      </c>
      <c r="H44" s="413">
        <f>H30</f>
        <v>22223630.5</v>
      </c>
      <c r="I44" s="413">
        <f>I30</f>
        <v>11111815.25</v>
      </c>
      <c r="J44" s="413"/>
      <c r="K44" s="413"/>
      <c r="L44" s="413">
        <f>L30</f>
        <v>0</v>
      </c>
      <c r="M44" s="413">
        <f>M30</f>
        <v>0</v>
      </c>
      <c r="N44" s="413"/>
      <c r="O44" s="413"/>
      <c r="R44" s="413"/>
      <c r="S44" s="413"/>
      <c r="T44" s="413"/>
      <c r="U44" s="413"/>
      <c r="V44" s="413"/>
      <c r="W44" s="413"/>
      <c r="Z44" s="413"/>
      <c r="AA44" s="413"/>
      <c r="AP44" s="413">
        <f t="shared" ref="AP44:AQ44" si="68">AP30</f>
        <v>75254789.590000004</v>
      </c>
      <c r="AQ44" s="413">
        <f t="shared" si="68"/>
        <v>75254789.590000004</v>
      </c>
      <c r="AT44" s="413">
        <f t="shared" ref="AT44:AY44" si="69">AT30</f>
        <v>61300000</v>
      </c>
      <c r="AU44" s="413">
        <f t="shared" si="69"/>
        <v>61300000</v>
      </c>
      <c r="AV44" s="413">
        <f t="shared" si="69"/>
        <v>40425000</v>
      </c>
      <c r="AW44" s="413">
        <f t="shared" si="69"/>
        <v>40425000</v>
      </c>
      <c r="AX44" s="413">
        <f t="shared" si="69"/>
        <v>502800000.01999998</v>
      </c>
      <c r="AY44" s="413">
        <f t="shared" si="69"/>
        <v>502800000.01999998</v>
      </c>
      <c r="AZ44" s="413"/>
      <c r="BA44" s="413"/>
      <c r="BB44" s="413"/>
      <c r="BC44" s="413"/>
    </row>
    <row r="45" spans="1:65" s="414" customFormat="1" ht="15.6" x14ac:dyDescent="0.3">
      <c r="A45" s="421" t="s">
        <v>147</v>
      </c>
      <c r="B45" s="148">
        <f>'Прочая  субсидия_БП'!B29</f>
        <v>60040207</v>
      </c>
      <c r="C45" s="148">
        <f>'Прочая  субсидия_БП'!C29</f>
        <v>51808553.280000001</v>
      </c>
      <c r="J45" s="413"/>
      <c r="K45" s="413"/>
      <c r="L45" s="413"/>
      <c r="M45" s="413"/>
      <c r="N45" s="413"/>
      <c r="O45" s="413"/>
      <c r="R45" s="413"/>
      <c r="S45" s="413"/>
      <c r="T45" s="413"/>
      <c r="U45" s="413"/>
      <c r="V45" s="413"/>
      <c r="W45" s="413"/>
    </row>
    <row r="47" spans="1:65" x14ac:dyDescent="0.25">
      <c r="Z47" s="415"/>
      <c r="AA47" s="415"/>
    </row>
  </sheetData>
  <mergeCells count="64">
    <mergeCell ref="R5:S5"/>
    <mergeCell ref="N5:O5"/>
    <mergeCell ref="N6:O6"/>
    <mergeCell ref="R6:S6"/>
    <mergeCell ref="V5:W5"/>
    <mergeCell ref="V6:W6"/>
    <mergeCell ref="T5:U5"/>
    <mergeCell ref="T6:U6"/>
    <mergeCell ref="A5:A7"/>
    <mergeCell ref="P6:Q6"/>
    <mergeCell ref="H6:I6"/>
    <mergeCell ref="H5:I5"/>
    <mergeCell ref="D5:E5"/>
    <mergeCell ref="L6:M6"/>
    <mergeCell ref="P5:Q5"/>
    <mergeCell ref="J5:K5"/>
    <mergeCell ref="L5:M5"/>
    <mergeCell ref="D6:E6"/>
    <mergeCell ref="J6:K6"/>
    <mergeCell ref="B5:C6"/>
    <mergeCell ref="F5:G5"/>
    <mergeCell ref="F6:G6"/>
    <mergeCell ref="X5:Y5"/>
    <mergeCell ref="AD6:AE6"/>
    <mergeCell ref="AJ5:AK5"/>
    <mergeCell ref="AJ6:AK6"/>
    <mergeCell ref="X6:Y6"/>
    <mergeCell ref="AH6:AI6"/>
    <mergeCell ref="AF5:AG5"/>
    <mergeCell ref="AF6:AG6"/>
    <mergeCell ref="AH5:AI5"/>
    <mergeCell ref="AB5:AC5"/>
    <mergeCell ref="AB6:AC6"/>
    <mergeCell ref="AN6:AO6"/>
    <mergeCell ref="Z6:AA6"/>
    <mergeCell ref="BF6:BG6"/>
    <mergeCell ref="AL5:AM5"/>
    <mergeCell ref="AN5:AO5"/>
    <mergeCell ref="AL6:AM6"/>
    <mergeCell ref="AP5:AQ5"/>
    <mergeCell ref="AP6:AQ6"/>
    <mergeCell ref="Z5:AA5"/>
    <mergeCell ref="AD5:AE5"/>
    <mergeCell ref="AR5:AS5"/>
    <mergeCell ref="AR6:AS6"/>
    <mergeCell ref="BD5:BE5"/>
    <mergeCell ref="BD6:BE6"/>
    <mergeCell ref="AT5:AU5"/>
    <mergeCell ref="AT6:AU6"/>
    <mergeCell ref="AV5:AW5"/>
    <mergeCell ref="AV6:AW6"/>
    <mergeCell ref="BF5:BG5"/>
    <mergeCell ref="BL5:BM5"/>
    <mergeCell ref="BL6:BM6"/>
    <mergeCell ref="AZ5:BA5"/>
    <mergeCell ref="AZ6:BA6"/>
    <mergeCell ref="AX5:AY5"/>
    <mergeCell ref="AX6:AY6"/>
    <mergeCell ref="BH5:BI5"/>
    <mergeCell ref="BJ6:BK6"/>
    <mergeCell ref="BJ5:BK5"/>
    <mergeCell ref="BH6:BI6"/>
    <mergeCell ref="BB5:BC5"/>
    <mergeCell ref="BB6:BC6"/>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5" manualBreakCount="5">
    <brk id="13" max="37" man="1"/>
    <brk id="25" max="37" man="1"/>
    <brk id="37" max="37" man="1"/>
    <brk id="49" max="37" man="1"/>
    <brk id="61"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DE45"/>
  <sheetViews>
    <sheetView topLeftCell="A2" zoomScale="60" zoomScaleNormal="60" workbookViewId="0">
      <pane xSplit="1" ySplit="6" topLeftCell="BN21" activePane="bottomRight" state="frozen"/>
      <selection activeCell="D27" sqref="D27"/>
      <selection pane="topRight" activeCell="D27" sqref="D27"/>
      <selection pane="bottomLeft" activeCell="D27" sqref="D27"/>
      <selection pane="bottomRight" activeCell="BU8" sqref="BU8:BU25"/>
    </sheetView>
  </sheetViews>
  <sheetFormatPr defaultRowHeight="15" x14ac:dyDescent="0.25"/>
  <cols>
    <col min="1" max="1" width="22.21875" customWidth="1"/>
    <col min="2" max="2" width="21.5546875" customWidth="1"/>
    <col min="3" max="3" width="23.21875" customWidth="1"/>
    <col min="4" max="4" width="22.77734375" customWidth="1"/>
    <col min="5" max="5" width="22" customWidth="1"/>
    <col min="6" max="6" width="20.77734375" customWidth="1"/>
    <col min="7" max="7" width="19.77734375" customWidth="1"/>
    <col min="8" max="9" width="20.21875" customWidth="1"/>
    <col min="10" max="13" width="17.77734375" customWidth="1"/>
    <col min="14" max="14" width="21" customWidth="1"/>
    <col min="15" max="15" width="24.21875" customWidth="1"/>
    <col min="16" max="16" width="20.21875" customWidth="1"/>
    <col min="17" max="17" width="20.5546875" customWidth="1"/>
    <col min="18" max="19" width="18" customWidth="1"/>
    <col min="20" max="21" width="21.21875" customWidth="1"/>
    <col min="22" max="22" width="20.5546875" customWidth="1"/>
    <col min="23" max="23" width="21.21875" customWidth="1"/>
    <col min="24" max="24" width="19.5546875" customWidth="1"/>
    <col min="25" max="25" width="20.5546875" customWidth="1"/>
    <col min="26" max="27" width="28.5546875" customWidth="1"/>
    <col min="28" max="31" width="17.5546875" customWidth="1"/>
    <col min="32" max="33" width="22.21875" customWidth="1"/>
    <col min="34" max="37" width="18.44140625" customWidth="1"/>
    <col min="38" max="39" width="20.77734375" style="409" customWidth="1"/>
    <col min="40" max="43" width="20.5546875" style="409" customWidth="1"/>
    <col min="44" max="44" width="21.77734375" customWidth="1"/>
    <col min="45" max="45" width="20" customWidth="1"/>
    <col min="46" max="46" width="19.44140625" customWidth="1"/>
    <col min="47" max="48" width="20.5546875" customWidth="1"/>
    <col min="49" max="61" width="20.21875" customWidth="1"/>
    <col min="62" max="63" width="21.21875" customWidth="1"/>
    <col min="64" max="73" width="19.44140625" customWidth="1"/>
    <col min="74" max="75" width="22.77734375" style="409" customWidth="1"/>
    <col min="76" max="79" width="21.44140625" style="409" customWidth="1"/>
    <col min="80" max="81" width="24.21875" style="409" customWidth="1"/>
    <col min="82" max="91" width="21.44140625" style="409" customWidth="1"/>
    <col min="92" max="92" width="20.77734375" customWidth="1"/>
    <col min="93" max="93" width="19" customWidth="1"/>
    <col min="94" max="94" width="18.21875" bestFit="1" customWidth="1"/>
    <col min="95" max="95" width="18.77734375" customWidth="1"/>
    <col min="96" max="97" width="17.5546875" customWidth="1"/>
    <col min="98" max="99" width="21" customWidth="1"/>
    <col min="100" max="103" width="20.21875" customWidth="1"/>
    <col min="104" max="105" width="21" customWidth="1"/>
    <col min="106" max="107" width="22.44140625" customWidth="1"/>
    <col min="108" max="108" width="20.6640625" customWidth="1"/>
    <col min="109" max="109" width="20.21875" customWidth="1"/>
  </cols>
  <sheetData>
    <row r="2" spans="1:109" ht="17.399999999999999" x14ac:dyDescent="0.3">
      <c r="D2" s="255" t="s">
        <v>25</v>
      </c>
      <c r="G2" s="1034" t="str">
        <f>'Район  и  поселения'!E3</f>
        <v>ПО  СОСТОЯНИЮ  НА  1  ОКТЯБРЯ  2019  ГОДА</v>
      </c>
      <c r="O2" s="143"/>
      <c r="P2" s="143"/>
      <c r="Q2" s="143"/>
      <c r="R2" s="143"/>
      <c r="S2" s="143"/>
      <c r="T2" s="143"/>
      <c r="U2" s="143"/>
      <c r="V2" s="143"/>
      <c r="W2" s="143"/>
      <c r="X2" s="143"/>
      <c r="Y2" s="143"/>
      <c r="Z2" s="143"/>
      <c r="AA2" s="143"/>
      <c r="AB2" s="143"/>
      <c r="AC2" s="143"/>
      <c r="AD2" s="143"/>
      <c r="AE2" s="143"/>
      <c r="BJ2" s="143"/>
      <c r="BK2" s="143"/>
      <c r="BL2" s="143"/>
      <c r="BM2" s="143"/>
      <c r="BN2" s="143"/>
      <c r="BO2" s="143"/>
      <c r="BP2" s="143"/>
      <c r="BQ2" s="143"/>
      <c r="BR2" s="143"/>
      <c r="BS2" s="143"/>
      <c r="BT2" s="143"/>
      <c r="BU2" s="143"/>
    </row>
    <row r="3" spans="1:109" ht="15.6" x14ac:dyDescent="0.3">
      <c r="B3" s="143"/>
      <c r="C3" s="143"/>
      <c r="D3" s="143"/>
      <c r="E3" s="143"/>
      <c r="F3" s="143"/>
      <c r="G3" s="143"/>
      <c r="N3" s="143"/>
      <c r="O3" s="143"/>
      <c r="P3" s="143"/>
      <c r="Q3" s="143"/>
      <c r="R3" s="143"/>
      <c r="S3" s="143"/>
      <c r="T3" s="143"/>
      <c r="U3" s="143"/>
      <c r="V3" s="143"/>
      <c r="W3" s="143"/>
      <c r="X3" s="143"/>
      <c r="Y3" s="143"/>
      <c r="Z3" s="143"/>
      <c r="AA3" s="143"/>
      <c r="AB3" s="143"/>
      <c r="AC3" s="143"/>
      <c r="AD3" s="143"/>
      <c r="AE3" s="143"/>
      <c r="BJ3" s="143"/>
      <c r="BK3" s="143"/>
      <c r="BL3" s="143"/>
      <c r="BM3" s="143"/>
      <c r="BN3" s="143"/>
      <c r="BO3" s="143"/>
      <c r="BP3" s="143"/>
      <c r="BQ3" s="143"/>
      <c r="BR3" s="143"/>
      <c r="BS3" s="143"/>
      <c r="BT3" s="143"/>
      <c r="BU3" s="143"/>
    </row>
    <row r="4" spans="1:109" x14ac:dyDescent="0.25">
      <c r="DD4" s="5" t="s">
        <v>0</v>
      </c>
    </row>
    <row r="5" spans="1:109" s="144" customFormat="1" ht="258" customHeight="1" x14ac:dyDescent="0.25">
      <c r="A5" s="1640" t="s">
        <v>13</v>
      </c>
      <c r="B5" s="1639" t="s">
        <v>1</v>
      </c>
      <c r="C5" s="1644"/>
      <c r="D5" s="1630" t="s">
        <v>129</v>
      </c>
      <c r="E5" s="1647"/>
      <c r="F5" s="1650" t="s">
        <v>128</v>
      </c>
      <c r="G5" s="1650"/>
      <c r="H5" s="1636" t="s">
        <v>576</v>
      </c>
      <c r="I5" s="1636"/>
      <c r="J5" s="1630" t="s">
        <v>129</v>
      </c>
      <c r="K5" s="1631"/>
      <c r="L5" s="1630" t="s">
        <v>128</v>
      </c>
      <c r="M5" s="1631"/>
      <c r="N5" s="1643" t="s">
        <v>663</v>
      </c>
      <c r="O5" s="1643"/>
      <c r="P5" s="1630" t="s">
        <v>129</v>
      </c>
      <c r="Q5" s="1631"/>
      <c r="R5" s="1630" t="s">
        <v>128</v>
      </c>
      <c r="S5" s="1631"/>
      <c r="T5" s="1641" t="s">
        <v>249</v>
      </c>
      <c r="U5" s="1642"/>
      <c r="V5" s="1630" t="s">
        <v>129</v>
      </c>
      <c r="W5" s="1631"/>
      <c r="X5" s="1630" t="s">
        <v>128</v>
      </c>
      <c r="Y5" s="1631"/>
      <c r="Z5" s="1641" t="s">
        <v>632</v>
      </c>
      <c r="AA5" s="1642"/>
      <c r="AB5" s="1630" t="s">
        <v>129</v>
      </c>
      <c r="AC5" s="1631"/>
      <c r="AD5" s="1630" t="s">
        <v>128</v>
      </c>
      <c r="AE5" s="1631"/>
      <c r="AF5" s="1640" t="s">
        <v>250</v>
      </c>
      <c r="AG5" s="1640"/>
      <c r="AH5" s="1630" t="s">
        <v>129</v>
      </c>
      <c r="AI5" s="1631"/>
      <c r="AJ5" s="1630" t="s">
        <v>128</v>
      </c>
      <c r="AK5" s="1631"/>
      <c r="AL5" s="1637" t="s">
        <v>396</v>
      </c>
      <c r="AM5" s="1638"/>
      <c r="AN5" s="1630" t="s">
        <v>129</v>
      </c>
      <c r="AO5" s="1631"/>
      <c r="AP5" s="1630" t="s">
        <v>128</v>
      </c>
      <c r="AQ5" s="1631"/>
      <c r="AR5" s="1640" t="s">
        <v>283</v>
      </c>
      <c r="AS5" s="1640"/>
      <c r="AT5" s="1630" t="s">
        <v>129</v>
      </c>
      <c r="AU5" s="1631"/>
      <c r="AV5" s="1630" t="s">
        <v>128</v>
      </c>
      <c r="AW5" s="1631"/>
      <c r="AX5" s="1637" t="s">
        <v>393</v>
      </c>
      <c r="AY5" s="1638"/>
      <c r="AZ5" s="1630" t="s">
        <v>129</v>
      </c>
      <c r="BA5" s="1631"/>
      <c r="BB5" s="1630" t="s">
        <v>128</v>
      </c>
      <c r="BC5" s="1631"/>
      <c r="BD5" s="1637" t="s">
        <v>419</v>
      </c>
      <c r="BE5" s="1638"/>
      <c r="BF5" s="1630" t="s">
        <v>129</v>
      </c>
      <c r="BG5" s="1631"/>
      <c r="BH5" s="1630" t="s">
        <v>128</v>
      </c>
      <c r="BI5" s="1631"/>
      <c r="BJ5" s="1637" t="s">
        <v>417</v>
      </c>
      <c r="BK5" s="1638"/>
      <c r="BL5" s="1630" t="s">
        <v>129</v>
      </c>
      <c r="BM5" s="1631"/>
      <c r="BN5" s="1630" t="s">
        <v>128</v>
      </c>
      <c r="BO5" s="1631"/>
      <c r="BP5" s="1637" t="s">
        <v>619</v>
      </c>
      <c r="BQ5" s="1638"/>
      <c r="BR5" s="1630" t="s">
        <v>129</v>
      </c>
      <c r="BS5" s="1631"/>
      <c r="BT5" s="1630" t="s">
        <v>128</v>
      </c>
      <c r="BU5" s="1631"/>
      <c r="BV5" s="1637" t="s">
        <v>297</v>
      </c>
      <c r="BW5" s="1638"/>
      <c r="BX5" s="1630" t="s">
        <v>129</v>
      </c>
      <c r="BY5" s="1631"/>
      <c r="BZ5" s="1630" t="s">
        <v>128</v>
      </c>
      <c r="CA5" s="1631"/>
      <c r="CB5" s="1637" t="s">
        <v>298</v>
      </c>
      <c r="CC5" s="1638"/>
      <c r="CD5" s="1630" t="s">
        <v>129</v>
      </c>
      <c r="CE5" s="1631"/>
      <c r="CF5" s="1630" t="s">
        <v>128</v>
      </c>
      <c r="CG5" s="1631"/>
      <c r="CH5" s="1636" t="s">
        <v>399</v>
      </c>
      <c r="CI5" s="1639"/>
      <c r="CJ5" s="1630" t="s">
        <v>129</v>
      </c>
      <c r="CK5" s="1631"/>
      <c r="CL5" s="1630" t="s">
        <v>128</v>
      </c>
      <c r="CM5" s="1631"/>
      <c r="CN5" s="1636" t="s">
        <v>339</v>
      </c>
      <c r="CO5" s="1639"/>
      <c r="CP5" s="1630" t="s">
        <v>129</v>
      </c>
      <c r="CQ5" s="1631"/>
      <c r="CR5" s="1630" t="s">
        <v>128</v>
      </c>
      <c r="CS5" s="1631"/>
      <c r="CT5" s="1636" t="s">
        <v>341</v>
      </c>
      <c r="CU5" s="1636"/>
      <c r="CV5" s="1630" t="s">
        <v>129</v>
      </c>
      <c r="CW5" s="1631"/>
      <c r="CX5" s="1630" t="s">
        <v>128</v>
      </c>
      <c r="CY5" s="1631"/>
      <c r="CZ5" s="1636" t="s">
        <v>548</v>
      </c>
      <c r="DA5" s="1636"/>
      <c r="DB5" s="1630" t="s">
        <v>129</v>
      </c>
      <c r="DC5" s="1631"/>
      <c r="DD5" s="1630" t="s">
        <v>128</v>
      </c>
      <c r="DE5" s="1631"/>
    </row>
    <row r="6" spans="1:109" s="261" customFormat="1" ht="18" customHeight="1" x14ac:dyDescent="0.25">
      <c r="A6" s="1640"/>
      <c r="B6" s="1645"/>
      <c r="C6" s="1646"/>
      <c r="D6" s="1648"/>
      <c r="E6" s="1649"/>
      <c r="F6" s="1650"/>
      <c r="G6" s="1650"/>
      <c r="H6" s="1633" t="s">
        <v>575</v>
      </c>
      <c r="I6" s="1634"/>
      <c r="J6" s="1634"/>
      <c r="K6" s="1634"/>
      <c r="L6" s="1634"/>
      <c r="M6" s="1634"/>
      <c r="N6" s="1633" t="s">
        <v>664</v>
      </c>
      <c r="O6" s="1634"/>
      <c r="P6" s="1634"/>
      <c r="Q6" s="1634"/>
      <c r="R6" s="1634"/>
      <c r="S6" s="1634"/>
      <c r="T6" s="1633" t="s">
        <v>226</v>
      </c>
      <c r="U6" s="1633"/>
      <c r="V6" s="1633"/>
      <c r="W6" s="1633"/>
      <c r="X6" s="1633"/>
      <c r="Y6" s="1633"/>
      <c r="Z6" s="1633" t="s">
        <v>631</v>
      </c>
      <c r="AA6" s="1633"/>
      <c r="AB6" s="1633"/>
      <c r="AC6" s="1633"/>
      <c r="AD6" s="1633"/>
      <c r="AE6" s="1633"/>
      <c r="AF6" s="1634" t="s">
        <v>243</v>
      </c>
      <c r="AG6" s="1634"/>
      <c r="AH6" s="1634"/>
      <c r="AI6" s="1634"/>
      <c r="AJ6" s="1634"/>
      <c r="AK6" s="1634"/>
      <c r="AL6" s="1620" t="s">
        <v>395</v>
      </c>
      <c r="AM6" s="1632"/>
      <c r="AN6" s="1632"/>
      <c r="AO6" s="1632"/>
      <c r="AP6" s="1632"/>
      <c r="AQ6" s="1622"/>
      <c r="AR6" s="1633" t="s">
        <v>225</v>
      </c>
      <c r="AS6" s="1634"/>
      <c r="AT6" s="1634"/>
      <c r="AU6" s="1634"/>
      <c r="AV6" s="1634"/>
      <c r="AW6" s="1634"/>
      <c r="AX6" s="1633" t="s">
        <v>392</v>
      </c>
      <c r="AY6" s="1634"/>
      <c r="AZ6" s="1634"/>
      <c r="BA6" s="1634"/>
      <c r="BB6" s="1634"/>
      <c r="BC6" s="1634"/>
      <c r="BD6" s="1633" t="s">
        <v>418</v>
      </c>
      <c r="BE6" s="1634"/>
      <c r="BF6" s="1634"/>
      <c r="BG6" s="1634"/>
      <c r="BH6" s="1634"/>
      <c r="BI6" s="1634"/>
      <c r="BJ6" s="1634" t="s">
        <v>221</v>
      </c>
      <c r="BK6" s="1634"/>
      <c r="BL6" s="1634"/>
      <c r="BM6" s="1634"/>
      <c r="BN6" s="1634"/>
      <c r="BO6" s="1634"/>
      <c r="BP6" s="1633" t="s">
        <v>416</v>
      </c>
      <c r="BQ6" s="1634"/>
      <c r="BR6" s="1634"/>
      <c r="BS6" s="1634"/>
      <c r="BT6" s="1634"/>
      <c r="BU6" s="1634"/>
      <c r="BV6" s="1617" t="s">
        <v>233</v>
      </c>
      <c r="BW6" s="1635"/>
      <c r="BX6" s="1635"/>
      <c r="BY6" s="1635"/>
      <c r="BZ6" s="1635"/>
      <c r="CA6" s="1618"/>
      <c r="CB6" s="1617" t="s">
        <v>241</v>
      </c>
      <c r="CC6" s="1635"/>
      <c r="CD6" s="1635"/>
      <c r="CE6" s="1635"/>
      <c r="CF6" s="1635"/>
      <c r="CG6" s="1618"/>
      <c r="CH6" s="1633" t="s">
        <v>398</v>
      </c>
      <c r="CI6" s="1634"/>
      <c r="CJ6" s="1634"/>
      <c r="CK6" s="1634"/>
      <c r="CL6" s="1634"/>
      <c r="CM6" s="1634"/>
      <c r="CN6" s="1634" t="s">
        <v>338</v>
      </c>
      <c r="CO6" s="1634"/>
      <c r="CP6" s="1634"/>
      <c r="CQ6" s="1634"/>
      <c r="CR6" s="1634"/>
      <c r="CS6" s="1634"/>
      <c r="CT6" s="1634" t="s">
        <v>340</v>
      </c>
      <c r="CU6" s="1634"/>
      <c r="CV6" s="1634"/>
      <c r="CW6" s="1634"/>
      <c r="CX6" s="1634"/>
      <c r="CY6" s="1634"/>
      <c r="CZ6" s="1633" t="s">
        <v>547</v>
      </c>
      <c r="DA6" s="1634"/>
      <c r="DB6" s="1634"/>
      <c r="DC6" s="1634"/>
      <c r="DD6" s="1634"/>
      <c r="DE6" s="1634"/>
    </row>
    <row r="7" spans="1:109" s="147" customFormat="1" ht="18" customHeight="1" x14ac:dyDescent="0.25">
      <c r="A7" s="145"/>
      <c r="B7" s="146" t="s">
        <v>171</v>
      </c>
      <c r="C7" s="146" t="s">
        <v>172</v>
      </c>
      <c r="D7" s="651" t="s">
        <v>171</v>
      </c>
      <c r="E7" s="651" t="s">
        <v>172</v>
      </c>
      <c r="F7" s="651" t="s">
        <v>171</v>
      </c>
      <c r="G7" s="651" t="s">
        <v>172</v>
      </c>
      <c r="H7" s="146" t="s">
        <v>171</v>
      </c>
      <c r="I7" s="146" t="s">
        <v>172</v>
      </c>
      <c r="J7" s="283" t="s">
        <v>171</v>
      </c>
      <c r="K7" s="283" t="s">
        <v>172</v>
      </c>
      <c r="L7" s="283" t="s">
        <v>171</v>
      </c>
      <c r="M7" s="283" t="s">
        <v>172</v>
      </c>
      <c r="N7" s="146" t="s">
        <v>171</v>
      </c>
      <c r="O7" s="146" t="s">
        <v>172</v>
      </c>
      <c r="P7" s="283" t="s">
        <v>171</v>
      </c>
      <c r="Q7" s="283" t="s">
        <v>172</v>
      </c>
      <c r="R7" s="283" t="s">
        <v>171</v>
      </c>
      <c r="S7" s="283" t="s">
        <v>172</v>
      </c>
      <c r="T7" s="146" t="s">
        <v>171</v>
      </c>
      <c r="U7" s="146" t="s">
        <v>172</v>
      </c>
      <c r="V7" s="283" t="s">
        <v>171</v>
      </c>
      <c r="W7" s="283" t="s">
        <v>172</v>
      </c>
      <c r="X7" s="283" t="s">
        <v>171</v>
      </c>
      <c r="Y7" s="283" t="s">
        <v>172</v>
      </c>
      <c r="Z7" s="146" t="s">
        <v>171</v>
      </c>
      <c r="AA7" s="146" t="s">
        <v>172</v>
      </c>
      <c r="AB7" s="283" t="s">
        <v>171</v>
      </c>
      <c r="AC7" s="283" t="s">
        <v>172</v>
      </c>
      <c r="AD7" s="283" t="s">
        <v>171</v>
      </c>
      <c r="AE7" s="283" t="s">
        <v>172</v>
      </c>
      <c r="AF7" s="146" t="s">
        <v>171</v>
      </c>
      <c r="AG7" s="146" t="s">
        <v>172</v>
      </c>
      <c r="AH7" s="283" t="s">
        <v>171</v>
      </c>
      <c r="AI7" s="283" t="s">
        <v>172</v>
      </c>
      <c r="AJ7" s="283" t="s">
        <v>171</v>
      </c>
      <c r="AK7" s="283" t="s">
        <v>172</v>
      </c>
      <c r="AL7" s="1065" t="s">
        <v>171</v>
      </c>
      <c r="AM7" s="1065" t="s">
        <v>172</v>
      </c>
      <c r="AN7" s="283" t="s">
        <v>171</v>
      </c>
      <c r="AO7" s="283" t="s">
        <v>172</v>
      </c>
      <c r="AP7" s="283" t="s">
        <v>171</v>
      </c>
      <c r="AQ7" s="283" t="s">
        <v>172</v>
      </c>
      <c r="AR7" s="146" t="s">
        <v>171</v>
      </c>
      <c r="AS7" s="146" t="s">
        <v>172</v>
      </c>
      <c r="AT7" s="283" t="s">
        <v>171</v>
      </c>
      <c r="AU7" s="283" t="s">
        <v>172</v>
      </c>
      <c r="AV7" s="283" t="s">
        <v>171</v>
      </c>
      <c r="AW7" s="283" t="s">
        <v>172</v>
      </c>
      <c r="AX7" s="146" t="s">
        <v>171</v>
      </c>
      <c r="AY7" s="146" t="s">
        <v>172</v>
      </c>
      <c r="AZ7" s="283" t="s">
        <v>171</v>
      </c>
      <c r="BA7" s="283" t="s">
        <v>172</v>
      </c>
      <c r="BB7" s="283" t="s">
        <v>171</v>
      </c>
      <c r="BC7" s="283" t="s">
        <v>172</v>
      </c>
      <c r="BD7" s="146" t="s">
        <v>171</v>
      </c>
      <c r="BE7" s="146" t="s">
        <v>172</v>
      </c>
      <c r="BF7" s="283" t="s">
        <v>171</v>
      </c>
      <c r="BG7" s="283" t="s">
        <v>172</v>
      </c>
      <c r="BH7" s="283" t="s">
        <v>171</v>
      </c>
      <c r="BI7" s="283" t="s">
        <v>172</v>
      </c>
      <c r="BJ7" s="146" t="s">
        <v>171</v>
      </c>
      <c r="BK7" s="146" t="s">
        <v>172</v>
      </c>
      <c r="BL7" s="283" t="s">
        <v>171</v>
      </c>
      <c r="BM7" s="283" t="s">
        <v>172</v>
      </c>
      <c r="BN7" s="283" t="s">
        <v>171</v>
      </c>
      <c r="BO7" s="283" t="s">
        <v>172</v>
      </c>
      <c r="BP7" s="146" t="s">
        <v>171</v>
      </c>
      <c r="BQ7" s="146" t="s">
        <v>172</v>
      </c>
      <c r="BR7" s="283" t="s">
        <v>171</v>
      </c>
      <c r="BS7" s="283" t="s">
        <v>172</v>
      </c>
      <c r="BT7" s="283" t="s">
        <v>171</v>
      </c>
      <c r="BU7" s="283" t="s">
        <v>172</v>
      </c>
      <c r="BV7" s="1065" t="s">
        <v>171</v>
      </c>
      <c r="BW7" s="1065" t="s">
        <v>172</v>
      </c>
      <c r="BX7" s="283" t="s">
        <v>171</v>
      </c>
      <c r="BY7" s="283" t="s">
        <v>172</v>
      </c>
      <c r="BZ7" s="283" t="s">
        <v>171</v>
      </c>
      <c r="CA7" s="283" t="s">
        <v>172</v>
      </c>
      <c r="CB7" s="1065" t="s">
        <v>171</v>
      </c>
      <c r="CC7" s="1065" t="s">
        <v>172</v>
      </c>
      <c r="CD7" s="283" t="s">
        <v>171</v>
      </c>
      <c r="CE7" s="283" t="s">
        <v>172</v>
      </c>
      <c r="CF7" s="283" t="s">
        <v>171</v>
      </c>
      <c r="CG7" s="283" t="s">
        <v>172</v>
      </c>
      <c r="CH7" s="146" t="s">
        <v>171</v>
      </c>
      <c r="CI7" s="146" t="s">
        <v>172</v>
      </c>
      <c r="CJ7" s="283" t="s">
        <v>171</v>
      </c>
      <c r="CK7" s="283" t="s">
        <v>172</v>
      </c>
      <c r="CL7" s="283" t="s">
        <v>171</v>
      </c>
      <c r="CM7" s="283" t="s">
        <v>172</v>
      </c>
      <c r="CN7" s="146" t="s">
        <v>171</v>
      </c>
      <c r="CO7" s="146" t="s">
        <v>172</v>
      </c>
      <c r="CP7" s="283" t="s">
        <v>171</v>
      </c>
      <c r="CQ7" s="283" t="s">
        <v>172</v>
      </c>
      <c r="CR7" s="283" t="s">
        <v>171</v>
      </c>
      <c r="CS7" s="283" t="s">
        <v>172</v>
      </c>
      <c r="CT7" s="146" t="s">
        <v>171</v>
      </c>
      <c r="CU7" s="146" t="s">
        <v>172</v>
      </c>
      <c r="CV7" s="283" t="s">
        <v>171</v>
      </c>
      <c r="CW7" s="283" t="s">
        <v>172</v>
      </c>
      <c r="CX7" s="283" t="s">
        <v>171</v>
      </c>
      <c r="CY7" s="283" t="s">
        <v>172</v>
      </c>
      <c r="CZ7" s="146" t="s">
        <v>171</v>
      </c>
      <c r="DA7" s="146" t="s">
        <v>172</v>
      </c>
      <c r="DB7" s="283" t="s">
        <v>171</v>
      </c>
      <c r="DC7" s="283" t="s">
        <v>172</v>
      </c>
      <c r="DD7" s="283" t="s">
        <v>171</v>
      </c>
      <c r="DE7" s="283" t="s">
        <v>172</v>
      </c>
    </row>
    <row r="8" spans="1:109" s="1321" customFormat="1" ht="21" customHeight="1" x14ac:dyDescent="0.3">
      <c r="A8" s="1335" t="s">
        <v>88</v>
      </c>
      <c r="B8" s="1315">
        <f>BJ8+N8+H8+CN8+CT8+T8+AF8+BV8+CB8+AR8+AX8+CH8+CZ8+Z8+BD8+BP8+AL8</f>
        <v>25354737.73</v>
      </c>
      <c r="C8" s="1315">
        <f t="shared" ref="C8:G8" si="0">BK8+O8+I8+CO8+CU8+U8+AG8+BW8+CC8+AS8+AY8+CI8+DA8+AA8+BE8+BQ8+AM8</f>
        <v>21548560.48</v>
      </c>
      <c r="D8" s="1316">
        <f t="shared" si="0"/>
        <v>25354737.73</v>
      </c>
      <c r="E8" s="1316">
        <f t="shared" si="0"/>
        <v>21548560.48</v>
      </c>
      <c r="F8" s="1316">
        <f t="shared" si="0"/>
        <v>0</v>
      </c>
      <c r="G8" s="1316">
        <f t="shared" si="0"/>
        <v>0</v>
      </c>
      <c r="H8" s="1083">
        <f>[1]Субсидия_факт!CK10</f>
        <v>27785.85</v>
      </c>
      <c r="I8" s="1087">
        <f t="shared" ref="I8:I25" si="1">H8</f>
        <v>27785.85</v>
      </c>
      <c r="J8" s="1317">
        <f>H8-L8</f>
        <v>27785.85</v>
      </c>
      <c r="K8" s="1317">
        <f>I8-M8</f>
        <v>27785.85</v>
      </c>
      <c r="L8" s="1318">
        <f>[1]Субсидия_факт!CM10</f>
        <v>0</v>
      </c>
      <c r="M8" s="1319">
        <f>L8</f>
        <v>0</v>
      </c>
      <c r="N8" s="1083">
        <f>[1]Субсидия_факт!FG10</f>
        <v>1207290</v>
      </c>
      <c r="O8" s="1087">
        <f>N8</f>
        <v>1207290</v>
      </c>
      <c r="P8" s="1317">
        <f>N8-R8</f>
        <v>1207290</v>
      </c>
      <c r="Q8" s="1317">
        <f>O8-S8</f>
        <v>1207290</v>
      </c>
      <c r="R8" s="1318">
        <f>[1]Субсидия_факт!FI10</f>
        <v>0</v>
      </c>
      <c r="S8" s="1320"/>
      <c r="T8" s="1083">
        <f>[1]Субсидия_факт!FS10</f>
        <v>6426129</v>
      </c>
      <c r="U8" s="1383">
        <f>6426129-'Прочая  субсидия_МР  и  ГО'!AA8-'Проверочная  таблица'!AS12-'Проверочная  таблица'!BE12</f>
        <v>6426129</v>
      </c>
      <c r="V8" s="1317">
        <f>T8-X8</f>
        <v>6426129</v>
      </c>
      <c r="W8" s="1317">
        <f>U8-Y8</f>
        <v>6426129</v>
      </c>
      <c r="X8" s="1318">
        <f>[1]Субсидия_факт!FU10</f>
        <v>0</v>
      </c>
      <c r="Y8" s="1320"/>
      <c r="Z8" s="1083">
        <f>[1]Субсидия_факт!GQ10</f>
        <v>0</v>
      </c>
      <c r="AA8" s="1084"/>
      <c r="AB8" s="1317">
        <f>Z8-AD8</f>
        <v>0</v>
      </c>
      <c r="AC8" s="1317">
        <f>AA8-AE8</f>
        <v>0</v>
      </c>
      <c r="AD8" s="1318">
        <f>[1]Субсидия_факт!GS10</f>
        <v>0</v>
      </c>
      <c r="AE8" s="1320"/>
      <c r="AF8" s="1083">
        <f>[1]Субсидия_факт!GY10</f>
        <v>643334</v>
      </c>
      <c r="AG8" s="1087">
        <f t="shared" ref="AG8:AG25" si="2">AF8</f>
        <v>643334</v>
      </c>
      <c r="AH8" s="1317">
        <f>AF8-AJ8</f>
        <v>643334</v>
      </c>
      <c r="AI8" s="1317">
        <f>AG8-AK8</f>
        <v>643334</v>
      </c>
      <c r="AJ8" s="1318">
        <f>[1]Субсидия_факт!HA10</f>
        <v>0</v>
      </c>
      <c r="AK8" s="1320"/>
      <c r="AL8" s="1083">
        <f>[1]Субсидия_факт!HK10</f>
        <v>0</v>
      </c>
      <c r="AM8" s="1084"/>
      <c r="AN8" s="1317">
        <f>AL8-AP8</f>
        <v>0</v>
      </c>
      <c r="AO8" s="1317">
        <f>AM8-AQ8</f>
        <v>0</v>
      </c>
      <c r="AP8" s="1318">
        <f>[1]Субсидия_факт!HM10</f>
        <v>0</v>
      </c>
      <c r="AQ8" s="1320"/>
      <c r="AR8" s="1083">
        <f>[1]Субсидия_факт!II10</f>
        <v>1762177.25</v>
      </c>
      <c r="AS8" s="1383">
        <f>0-'Прочая  субсидия_МР  и  ГО'!AI8</f>
        <v>0</v>
      </c>
      <c r="AT8" s="1317">
        <f>AR8-AV8</f>
        <v>1762177.25</v>
      </c>
      <c r="AU8" s="1317">
        <f>AS8-AW8</f>
        <v>0</v>
      </c>
      <c r="AV8" s="1318">
        <f>[1]Субсидия_факт!IK10</f>
        <v>0</v>
      </c>
      <c r="AW8" s="1320"/>
      <c r="AX8" s="1083">
        <f>[1]Субсидия_факт!IO10</f>
        <v>0</v>
      </c>
      <c r="AY8" s="1084"/>
      <c r="AZ8" s="1317">
        <f>AX8-BB8</f>
        <v>0</v>
      </c>
      <c r="BA8" s="1317">
        <f>AY8-BC8</f>
        <v>0</v>
      </c>
      <c r="BB8" s="1318">
        <f>[1]Субсидия_факт!IQ10</f>
        <v>0</v>
      </c>
      <c r="BC8" s="1320"/>
      <c r="BD8" s="1083">
        <f>[1]Субсидия_факт!MA10</f>
        <v>0</v>
      </c>
      <c r="BE8" s="1084"/>
      <c r="BF8" s="1317">
        <f>BD8-BH8</f>
        <v>0</v>
      </c>
      <c r="BG8" s="1317"/>
      <c r="BH8" s="1318">
        <f>[1]Субсидия_факт!MC10</f>
        <v>0</v>
      </c>
      <c r="BI8" s="1320"/>
      <c r="BJ8" s="1083">
        <f>[1]Субсидия_факт!MS10</f>
        <v>0</v>
      </c>
      <c r="BK8" s="1087">
        <f t="shared" ref="BK8:BK25" si="3">BJ8</f>
        <v>0</v>
      </c>
      <c r="BL8" s="1317">
        <f>BJ8-BN8</f>
        <v>0</v>
      </c>
      <c r="BM8" s="1317">
        <f>BK8-BO8</f>
        <v>0</v>
      </c>
      <c r="BN8" s="1318">
        <f>[1]Субсидия_факт!MU10</f>
        <v>0</v>
      </c>
      <c r="BO8" s="1319">
        <f>BK8</f>
        <v>0</v>
      </c>
      <c r="BP8" s="1083">
        <f>[1]Субсидия_факт!NC10</f>
        <v>0</v>
      </c>
      <c r="BQ8" s="1087">
        <f>BP8</f>
        <v>0</v>
      </c>
      <c r="BR8" s="1317">
        <f>BP8-BT8</f>
        <v>0</v>
      </c>
      <c r="BS8" s="1317"/>
      <c r="BT8" s="1318">
        <f>[1]Субсидия_факт!NE10</f>
        <v>0</v>
      </c>
      <c r="BU8" s="1319">
        <f>BQ8</f>
        <v>0</v>
      </c>
      <c r="BV8" s="1083">
        <f>[1]Субсидия_факт!NK10</f>
        <v>0</v>
      </c>
      <c r="BW8" s="1084"/>
      <c r="BX8" s="1317">
        <f>BV8-BZ8</f>
        <v>0</v>
      </c>
      <c r="BY8" s="1317">
        <f>BW8-CA8</f>
        <v>0</v>
      </c>
      <c r="BZ8" s="1318">
        <f>[1]Субсидия_факт!NM10</f>
        <v>0</v>
      </c>
      <c r="CA8" s="1320"/>
      <c r="CB8" s="1083">
        <f>[1]Субсидия_факт!NQ10</f>
        <v>0</v>
      </c>
      <c r="CC8" s="1084"/>
      <c r="CD8" s="1317">
        <f>CB8-CF8</f>
        <v>0</v>
      </c>
      <c r="CE8" s="1317">
        <f>CC8-CG8</f>
        <v>0</v>
      </c>
      <c r="CF8" s="1318">
        <f>[1]Субсидия_факт!NS10</f>
        <v>0</v>
      </c>
      <c r="CG8" s="1320"/>
      <c r="CH8" s="1083">
        <f>[1]Субсидия_факт!NW10</f>
        <v>0</v>
      </c>
      <c r="CI8" s="1084"/>
      <c r="CJ8" s="1317">
        <f>CH8-CL8</f>
        <v>0</v>
      </c>
      <c r="CK8" s="1317">
        <f>CI8-CM8</f>
        <v>0</v>
      </c>
      <c r="CL8" s="1318">
        <f>[1]Субсидия_факт!NY10</f>
        <v>0</v>
      </c>
      <c r="CM8" s="1319">
        <f>CI8</f>
        <v>0</v>
      </c>
      <c r="CN8" s="1083">
        <f>[1]Субсидия_факт!OC10</f>
        <v>274682.63</v>
      </c>
      <c r="CO8" s="1087">
        <f>CN8</f>
        <v>274682.63</v>
      </c>
      <c r="CP8" s="1317">
        <f>CN8-CR8</f>
        <v>274682.63</v>
      </c>
      <c r="CQ8" s="1317">
        <f>CO8-CS8</f>
        <v>274682.63</v>
      </c>
      <c r="CR8" s="1318">
        <f>[1]Субсидия_факт!OE10</f>
        <v>0</v>
      </c>
      <c r="CS8" s="1319">
        <f>CR8</f>
        <v>0</v>
      </c>
      <c r="CT8" s="1083">
        <f>[1]Субсидия_факт!PM10</f>
        <v>15013339</v>
      </c>
      <c r="CU8" s="1084">
        <v>12969339</v>
      </c>
      <c r="CV8" s="1317">
        <f>CT8-CX8</f>
        <v>15013339</v>
      </c>
      <c r="CW8" s="1317">
        <f>CU8-CY8</f>
        <v>12969339</v>
      </c>
      <c r="CX8" s="1318">
        <f>[1]Субсидия_факт!PO10</f>
        <v>0</v>
      </c>
      <c r="CY8" s="1320"/>
      <c r="CZ8" s="1083">
        <f>[1]Субсидия_факт!PS10</f>
        <v>0</v>
      </c>
      <c r="DA8" s="1087">
        <f t="shared" ref="DA8:DA14" si="4">CZ8</f>
        <v>0</v>
      </c>
      <c r="DB8" s="1317">
        <f>CZ8-DD8</f>
        <v>0</v>
      </c>
      <c r="DC8" s="1317">
        <f>DA8-DE8</f>
        <v>0</v>
      </c>
      <c r="DD8" s="1318">
        <f>[1]Субсидия_факт!PU10</f>
        <v>0</v>
      </c>
      <c r="DE8" s="1319">
        <f t="shared" ref="DE8:DE25" si="5">DD8</f>
        <v>0</v>
      </c>
    </row>
    <row r="9" spans="1:109" s="1321" customFormat="1" ht="21" customHeight="1" x14ac:dyDescent="0.3">
      <c r="A9" s="1335" t="s">
        <v>89</v>
      </c>
      <c r="B9" s="1315">
        <f t="shared" ref="B9:B24" si="6">BJ9+N9+H9+CN9+CT9+T9+AF9+BV9+CB9+AR9+AX9+CH9+CZ9+Z9+BD9+BP9+AL9</f>
        <v>74620870.810000002</v>
      </c>
      <c r="C9" s="1315">
        <f t="shared" ref="C9:C24" si="7">BK9+O9+I9+CO9+CU9+U9+AG9+BW9+CC9+AS9+AY9+CI9+DA9+AA9+BE9+BQ9+AM9</f>
        <v>59430665.239999995</v>
      </c>
      <c r="D9" s="1316">
        <f t="shared" ref="D9:D24" si="8">BL9+P9+J9+CP9+CV9+V9+AH9+BX9+CD9+AT9+AZ9+CJ9+DB9+AB9+BF9+BR9+AN9</f>
        <v>23639928.490000002</v>
      </c>
      <c r="E9" s="1316">
        <f t="shared" ref="E9:E24" si="9">BM9+Q9+K9+CQ9+CW9+W9+AI9+BY9+CE9+AU9+BA9+CK9+DC9+AC9+BG9+BS9+AO9</f>
        <v>12954033.92</v>
      </c>
      <c r="F9" s="1316">
        <f t="shared" ref="F9:F24" si="10">BN9+R9+L9+CR9+CX9+X9+AJ9+BZ9+CF9+AV9+BB9+CL9+DD9+AD9+BH9+BT9+AP9</f>
        <v>50980942.32</v>
      </c>
      <c r="G9" s="1316">
        <f t="shared" ref="G9:G24" si="11">BO9+S9+M9+CS9+CY9+Y9+AK9+CA9+CG9+AW9+BC9+CM9+DE9+AE9+BI9+BU9+AQ9</f>
        <v>46476631.32</v>
      </c>
      <c r="H9" s="1083">
        <f>[1]Субсидия_факт!CK11</f>
        <v>0</v>
      </c>
      <c r="I9" s="1087">
        <f t="shared" si="1"/>
        <v>0</v>
      </c>
      <c r="J9" s="1317">
        <f t="shared" ref="J9:J25" si="12">H9-L9</f>
        <v>0</v>
      </c>
      <c r="K9" s="1317">
        <f t="shared" ref="K9:K25" si="13">I9-M9</f>
        <v>0</v>
      </c>
      <c r="L9" s="1318">
        <f>[1]Субсидия_факт!CM11</f>
        <v>0</v>
      </c>
      <c r="M9" s="1319">
        <f t="shared" ref="M9:M25" si="14">L9</f>
        <v>0</v>
      </c>
      <c r="N9" s="1083">
        <f>[1]Субсидия_факт!FG11</f>
        <v>0</v>
      </c>
      <c r="O9" s="1087">
        <f t="shared" ref="O9:O10" si="15">N9</f>
        <v>0</v>
      </c>
      <c r="P9" s="1317">
        <f t="shared" ref="P9:P25" si="16">N9-R9</f>
        <v>0</v>
      </c>
      <c r="Q9" s="1317">
        <f t="shared" ref="Q9:Q25" si="17">O9-S9</f>
        <v>0</v>
      </c>
      <c r="R9" s="1318">
        <f>[1]Субсидия_факт!FI11</f>
        <v>0</v>
      </c>
      <c r="S9" s="1320"/>
      <c r="T9" s="1083">
        <f>[1]Субсидия_факт!FS11</f>
        <v>945720</v>
      </c>
      <c r="U9" s="1383">
        <f>832233-'Прочая  субсидия_МР  и  ГО'!AA9-'Проверочная  таблица'!AS13-'Проверочная  таблица'!BE13</f>
        <v>832233</v>
      </c>
      <c r="V9" s="1317">
        <f t="shared" ref="V9:V25" si="18">T9-X9</f>
        <v>945720</v>
      </c>
      <c r="W9" s="1317">
        <f t="shared" ref="W9:W25" si="19">U9-Y9</f>
        <v>832233</v>
      </c>
      <c r="X9" s="1318">
        <f>[1]Субсидия_факт!FU11</f>
        <v>0</v>
      </c>
      <c r="Y9" s="1320"/>
      <c r="Z9" s="1083">
        <f>[1]Субсидия_факт!GQ11</f>
        <v>0</v>
      </c>
      <c r="AA9" s="1084"/>
      <c r="AB9" s="1317">
        <f t="shared" ref="AB9:AB25" si="20">Z9-AD9</f>
        <v>0</v>
      </c>
      <c r="AC9" s="1317">
        <f t="shared" ref="AC9:AC25" si="21">AA9-AE9</f>
        <v>0</v>
      </c>
      <c r="AD9" s="1318">
        <f>[1]Субсидия_факт!GS11</f>
        <v>0</v>
      </c>
      <c r="AE9" s="1320"/>
      <c r="AF9" s="1083">
        <f>[1]Субсидия_факт!GY11</f>
        <v>215001</v>
      </c>
      <c r="AG9" s="1087">
        <f t="shared" si="2"/>
        <v>215001</v>
      </c>
      <c r="AH9" s="1317">
        <f t="shared" ref="AH9:AH25" si="22">AF9-AJ9</f>
        <v>0</v>
      </c>
      <c r="AI9" s="1317">
        <f t="shared" ref="AI9:AI25" si="23">AG9-AK9</f>
        <v>0</v>
      </c>
      <c r="AJ9" s="1318">
        <f>[1]Субсидия_факт!HA11</f>
        <v>215001</v>
      </c>
      <c r="AK9" s="1319">
        <f>AJ9</f>
        <v>215001</v>
      </c>
      <c r="AL9" s="1083">
        <f>[1]Субсидия_факт!HK11</f>
        <v>0</v>
      </c>
      <c r="AM9" s="1084"/>
      <c r="AN9" s="1317">
        <f t="shared" ref="AN9:AN25" si="24">AL9-AP9</f>
        <v>0</v>
      </c>
      <c r="AO9" s="1317">
        <f t="shared" ref="AO9:AO25" si="25">AM9-AQ9</f>
        <v>0</v>
      </c>
      <c r="AP9" s="1318">
        <f>[1]Субсидия_факт!HM11</f>
        <v>0</v>
      </c>
      <c r="AQ9" s="1320"/>
      <c r="AR9" s="1083">
        <f>[1]Субсидия_факт!II11</f>
        <v>10635662</v>
      </c>
      <c r="AS9" s="1383">
        <f>6486449.43-'Прочая  субсидия_МР  и  ГО'!AI9</f>
        <v>6486449.4299999997</v>
      </c>
      <c r="AT9" s="1317">
        <f t="shared" ref="AT9:AT25" si="26">AR9-AV9</f>
        <v>10635662</v>
      </c>
      <c r="AU9" s="1317">
        <f t="shared" ref="AU9:AU25" si="27">AS9-AW9</f>
        <v>6486449.4299999997</v>
      </c>
      <c r="AV9" s="1318">
        <f>[1]Субсидия_факт!IK11</f>
        <v>0</v>
      </c>
      <c r="AW9" s="1320"/>
      <c r="AX9" s="1083">
        <f>[1]Субсидия_факт!IO11</f>
        <v>0</v>
      </c>
      <c r="AY9" s="1084"/>
      <c r="AZ9" s="1317">
        <f t="shared" ref="AZ9:AZ25" si="28">AX9-BB9</f>
        <v>0</v>
      </c>
      <c r="BA9" s="1317">
        <f t="shared" ref="BA9:BA25" si="29">AY9-BC9</f>
        <v>0</v>
      </c>
      <c r="BB9" s="1318">
        <f>[1]Субсидия_факт!IQ11</f>
        <v>0</v>
      </c>
      <c r="BC9" s="1320"/>
      <c r="BD9" s="1083">
        <f>[1]Субсидия_факт!MA11</f>
        <v>0</v>
      </c>
      <c r="BE9" s="1084"/>
      <c r="BF9" s="1317">
        <f t="shared" ref="BF9:BF25" si="30">BD9-BH9</f>
        <v>0</v>
      </c>
      <c r="BG9" s="1317"/>
      <c r="BH9" s="1318">
        <f>[1]Субсидия_факт!MC11</f>
        <v>0</v>
      </c>
      <c r="BI9" s="1320"/>
      <c r="BJ9" s="1083">
        <f>[1]Субсидия_факт!MS11</f>
        <v>1572757</v>
      </c>
      <c r="BK9" s="1087">
        <f t="shared" si="3"/>
        <v>1572757</v>
      </c>
      <c r="BL9" s="1317">
        <f t="shared" ref="BL9:BL25" si="31">BJ9-BN9</f>
        <v>0</v>
      </c>
      <c r="BM9" s="1317">
        <f t="shared" ref="BM9:BM25" si="32">BK9-BO9</f>
        <v>0</v>
      </c>
      <c r="BN9" s="1318">
        <f>[1]Субсидия_факт!MU11</f>
        <v>1572757</v>
      </c>
      <c r="BO9" s="1319">
        <f t="shared" ref="BO9:BO25" si="33">BK9</f>
        <v>1572757</v>
      </c>
      <c r="BP9" s="1083">
        <f>[1]Субсидия_факт!NC11</f>
        <v>14184000</v>
      </c>
      <c r="BQ9" s="1087">
        <f t="shared" ref="BQ9:BQ25" si="34">BP9</f>
        <v>14184000</v>
      </c>
      <c r="BR9" s="1317">
        <f t="shared" ref="BR9:BR25" si="35">BP9-BT9</f>
        <v>0</v>
      </c>
      <c r="BS9" s="1317"/>
      <c r="BT9" s="1318">
        <f>[1]Субсидия_факт!NE11</f>
        <v>14184000</v>
      </c>
      <c r="BU9" s="1319">
        <f t="shared" ref="BU9:BU25" si="36">BQ9</f>
        <v>14184000</v>
      </c>
      <c r="BV9" s="1083">
        <f>[1]Субсидия_факт!NK11</f>
        <v>0</v>
      </c>
      <c r="BW9" s="1084"/>
      <c r="BX9" s="1317">
        <f t="shared" ref="BX9:BX25" si="37">BV9-BZ9</f>
        <v>0</v>
      </c>
      <c r="BY9" s="1317">
        <f t="shared" ref="BY9:BY25" si="38">BW9-CA9</f>
        <v>0</v>
      </c>
      <c r="BZ9" s="1318">
        <f>[1]Субсидия_факт!NM11</f>
        <v>0</v>
      </c>
      <c r="CA9" s="1320"/>
      <c r="CB9" s="1083">
        <f>[1]Субсидия_факт!NQ11</f>
        <v>0</v>
      </c>
      <c r="CC9" s="1084"/>
      <c r="CD9" s="1317">
        <f t="shared" ref="CD9:CD25" si="39">CB9-CF9</f>
        <v>0</v>
      </c>
      <c r="CE9" s="1317">
        <f t="shared" ref="CE9:CE25" si="40">CC9-CG9</f>
        <v>0</v>
      </c>
      <c r="CF9" s="1318">
        <f>[1]Субсидия_факт!NS11</f>
        <v>0</v>
      </c>
      <c r="CG9" s="1320"/>
      <c r="CH9" s="1083">
        <f>[1]Субсидия_факт!NW11</f>
        <v>5904000</v>
      </c>
      <c r="CI9" s="1084">
        <v>5874480</v>
      </c>
      <c r="CJ9" s="1317">
        <f t="shared" ref="CJ9:CJ25" si="41">CH9-CL9</f>
        <v>0</v>
      </c>
      <c r="CK9" s="1317">
        <f t="shared" ref="CK9:CK25" si="42">CI9-CM9</f>
        <v>0</v>
      </c>
      <c r="CL9" s="1318">
        <f>[1]Субсидия_факт!NY11</f>
        <v>5904000</v>
      </c>
      <c r="CM9" s="1319">
        <f t="shared" ref="CM9:CM25" si="43">CI9</f>
        <v>5874480</v>
      </c>
      <c r="CN9" s="1083">
        <f>[1]Субсидия_факт!OC11</f>
        <v>785620.80999999994</v>
      </c>
      <c r="CO9" s="1087">
        <f t="shared" ref="CO9:CO25" si="44">CN9</f>
        <v>785620.80999999994</v>
      </c>
      <c r="CP9" s="1317">
        <f t="shared" ref="CP9:CP25" si="45">CN9-CR9</f>
        <v>635351.49</v>
      </c>
      <c r="CQ9" s="1317">
        <f t="shared" ref="CQ9:CQ25" si="46">CO9-CS9</f>
        <v>635351.49</v>
      </c>
      <c r="CR9" s="1318">
        <f>[1]Субсидия_факт!OE11</f>
        <v>150269.32</v>
      </c>
      <c r="CS9" s="1319">
        <f t="shared" ref="CS9:CS25" si="47">CR9</f>
        <v>150269.32</v>
      </c>
      <c r="CT9" s="1083">
        <f>[1]Субсидия_факт!PM11</f>
        <v>40378110</v>
      </c>
      <c r="CU9" s="1084">
        <v>29480124</v>
      </c>
      <c r="CV9" s="1317">
        <f t="shared" ref="CV9:CV25" si="48">CT9-CX9</f>
        <v>11423195</v>
      </c>
      <c r="CW9" s="1317">
        <f t="shared" ref="CW9:CW25" si="49">CU9-CY9</f>
        <v>5000000</v>
      </c>
      <c r="CX9" s="1318">
        <f>[1]Субсидия_факт!PO11</f>
        <v>28954915</v>
      </c>
      <c r="CY9" s="1320">
        <v>24480124</v>
      </c>
      <c r="CZ9" s="1083">
        <f>[1]Субсидия_факт!PS11</f>
        <v>0</v>
      </c>
      <c r="DA9" s="1087">
        <f t="shared" si="4"/>
        <v>0</v>
      </c>
      <c r="DB9" s="1317">
        <f t="shared" ref="DB9:DB25" si="50">CZ9-DD9</f>
        <v>0</v>
      </c>
      <c r="DC9" s="1317">
        <f t="shared" ref="DC9:DC25" si="51">DA9-DE9</f>
        <v>0</v>
      </c>
      <c r="DD9" s="1318">
        <f>[1]Субсидия_факт!PU11</f>
        <v>0</v>
      </c>
      <c r="DE9" s="1319">
        <f t="shared" si="5"/>
        <v>0</v>
      </c>
    </row>
    <row r="10" spans="1:109" s="1321" customFormat="1" ht="21" customHeight="1" x14ac:dyDescent="0.3">
      <c r="A10" s="1335" t="s">
        <v>90</v>
      </c>
      <c r="B10" s="1315">
        <f t="shared" si="6"/>
        <v>74256882.819999993</v>
      </c>
      <c r="C10" s="1315">
        <f t="shared" si="7"/>
        <v>53853358.759999998</v>
      </c>
      <c r="D10" s="1316">
        <f t="shared" si="8"/>
        <v>30194660.600000001</v>
      </c>
      <c r="E10" s="1316">
        <f t="shared" si="9"/>
        <v>19261374.539999999</v>
      </c>
      <c r="F10" s="1316">
        <f t="shared" si="10"/>
        <v>44062222.219999999</v>
      </c>
      <c r="G10" s="1316">
        <f t="shared" si="11"/>
        <v>34591984.219999999</v>
      </c>
      <c r="H10" s="1083">
        <f>[1]Субсидия_факт!CK12</f>
        <v>8924.35</v>
      </c>
      <c r="I10" s="1087">
        <f t="shared" si="1"/>
        <v>8924.35</v>
      </c>
      <c r="J10" s="1317">
        <f t="shared" si="12"/>
        <v>5065.2000000000007</v>
      </c>
      <c r="K10" s="1317">
        <f t="shared" si="13"/>
        <v>5065.2000000000007</v>
      </c>
      <c r="L10" s="1318">
        <f>[1]Субсидия_факт!CM12</f>
        <v>3859.15</v>
      </c>
      <c r="M10" s="1319">
        <f t="shared" si="14"/>
        <v>3859.15</v>
      </c>
      <c r="N10" s="1083">
        <f>[1]Субсидия_факт!FG12</f>
        <v>1147068</v>
      </c>
      <c r="O10" s="1087">
        <f t="shared" si="15"/>
        <v>1147068</v>
      </c>
      <c r="P10" s="1317">
        <f t="shared" si="16"/>
        <v>771975</v>
      </c>
      <c r="Q10" s="1317">
        <f t="shared" si="17"/>
        <v>771975</v>
      </c>
      <c r="R10" s="1318">
        <f>[1]Субсидия_факт!FI12</f>
        <v>375093</v>
      </c>
      <c r="S10" s="1319">
        <f>R10</f>
        <v>375093</v>
      </c>
      <c r="T10" s="1083">
        <f>[1]Субсидия_факт!FS12</f>
        <v>7699005</v>
      </c>
      <c r="U10" s="1383">
        <f>30959887-'Прочая  субсидия_МР  и  ГО'!AA10-'Проверочная  таблица'!AS14-'Проверочная  таблица'!BE14</f>
        <v>7497389</v>
      </c>
      <c r="V10" s="1317">
        <f t="shared" si="18"/>
        <v>7699005</v>
      </c>
      <c r="W10" s="1317">
        <f t="shared" si="19"/>
        <v>7497389</v>
      </c>
      <c r="X10" s="1318">
        <f>[1]Субсидия_факт!FU12</f>
        <v>0</v>
      </c>
      <c r="Y10" s="1320"/>
      <c r="Z10" s="1083">
        <f>[1]Субсидия_факт!GQ12</f>
        <v>0</v>
      </c>
      <c r="AA10" s="1084"/>
      <c r="AB10" s="1317">
        <f t="shared" si="20"/>
        <v>0</v>
      </c>
      <c r="AC10" s="1317">
        <f t="shared" si="21"/>
        <v>0</v>
      </c>
      <c r="AD10" s="1318">
        <f>[1]Субсидия_факт!GS12</f>
        <v>0</v>
      </c>
      <c r="AE10" s="1320"/>
      <c r="AF10" s="1083">
        <f>[1]Субсидия_факт!GY12</f>
        <v>299250</v>
      </c>
      <c r="AG10" s="1087">
        <f t="shared" si="2"/>
        <v>299250</v>
      </c>
      <c r="AH10" s="1317">
        <f t="shared" si="22"/>
        <v>299250</v>
      </c>
      <c r="AI10" s="1317">
        <f t="shared" si="23"/>
        <v>299250</v>
      </c>
      <c r="AJ10" s="1318">
        <f>[1]Субсидия_факт!HA12</f>
        <v>0</v>
      </c>
      <c r="AK10" s="1320"/>
      <c r="AL10" s="1083">
        <f>[1]Субсидия_факт!HK12</f>
        <v>0</v>
      </c>
      <c r="AM10" s="1084"/>
      <c r="AN10" s="1317">
        <f t="shared" si="24"/>
        <v>0</v>
      </c>
      <c r="AO10" s="1317">
        <f t="shared" si="25"/>
        <v>0</v>
      </c>
      <c r="AP10" s="1318">
        <f>[1]Субсидия_факт!HM12</f>
        <v>0</v>
      </c>
      <c r="AQ10" s="1320"/>
      <c r="AR10" s="1083">
        <f>[1]Субсидия_факт!II12</f>
        <v>6853543</v>
      </c>
      <c r="AS10" s="1383">
        <f>1057379.94-'Прочая  субсидия_МР  и  ГО'!AI10</f>
        <v>1057379.94</v>
      </c>
      <c r="AT10" s="1317">
        <f t="shared" si="26"/>
        <v>3782002</v>
      </c>
      <c r="AU10" s="1317">
        <f t="shared" si="27"/>
        <v>1057379.94</v>
      </c>
      <c r="AV10" s="1318">
        <f>[1]Субсидия_факт!IK12</f>
        <v>3071541</v>
      </c>
      <c r="AW10" s="1320"/>
      <c r="AX10" s="1083">
        <f>[1]Субсидия_факт!IO12</f>
        <v>0</v>
      </c>
      <c r="AY10" s="1084"/>
      <c r="AZ10" s="1317">
        <f t="shared" si="28"/>
        <v>0</v>
      </c>
      <c r="BA10" s="1317">
        <f t="shared" si="29"/>
        <v>0</v>
      </c>
      <c r="BB10" s="1318">
        <f>[1]Субсидия_факт!IQ12</f>
        <v>0</v>
      </c>
      <c r="BC10" s="1320"/>
      <c r="BD10" s="1083">
        <f>[1]Субсидия_факт!MA12</f>
        <v>0</v>
      </c>
      <c r="BE10" s="1084"/>
      <c r="BF10" s="1317">
        <f t="shared" si="30"/>
        <v>0</v>
      </c>
      <c r="BG10" s="1317"/>
      <c r="BH10" s="1318">
        <f>[1]Субсидия_факт!MC12</f>
        <v>0</v>
      </c>
      <c r="BI10" s="1320"/>
      <c r="BJ10" s="1083">
        <f>[1]Субсидия_факт!MS12</f>
        <v>0</v>
      </c>
      <c r="BK10" s="1087">
        <f t="shared" si="3"/>
        <v>0</v>
      </c>
      <c r="BL10" s="1317">
        <f t="shared" si="31"/>
        <v>0</v>
      </c>
      <c r="BM10" s="1317">
        <f t="shared" si="32"/>
        <v>0</v>
      </c>
      <c r="BN10" s="1318">
        <f>[1]Субсидия_факт!MU12</f>
        <v>0</v>
      </c>
      <c r="BO10" s="1319">
        <f t="shared" si="33"/>
        <v>0</v>
      </c>
      <c r="BP10" s="1083">
        <f>[1]Субсидия_факт!NC12</f>
        <v>3420000</v>
      </c>
      <c r="BQ10" s="1084">
        <v>3150000</v>
      </c>
      <c r="BR10" s="1317">
        <f t="shared" si="35"/>
        <v>0</v>
      </c>
      <c r="BS10" s="1317"/>
      <c r="BT10" s="1318">
        <f>[1]Субсидия_факт!NE12</f>
        <v>3420000</v>
      </c>
      <c r="BU10" s="1319">
        <f t="shared" si="36"/>
        <v>3150000</v>
      </c>
      <c r="BV10" s="1083">
        <f>[1]Субсидия_факт!NK12</f>
        <v>0</v>
      </c>
      <c r="BW10" s="1084"/>
      <c r="BX10" s="1317">
        <f t="shared" si="37"/>
        <v>0</v>
      </c>
      <c r="BY10" s="1317">
        <f t="shared" si="38"/>
        <v>0</v>
      </c>
      <c r="BZ10" s="1318">
        <f>[1]Субсидия_факт!NM12</f>
        <v>0</v>
      </c>
      <c r="CA10" s="1320"/>
      <c r="CB10" s="1083">
        <f>[1]Субсидия_факт!NQ12</f>
        <v>0</v>
      </c>
      <c r="CC10" s="1084"/>
      <c r="CD10" s="1317">
        <f t="shared" si="39"/>
        <v>0</v>
      </c>
      <c r="CE10" s="1317">
        <f t="shared" si="40"/>
        <v>0</v>
      </c>
      <c r="CF10" s="1318">
        <f>[1]Субсидия_факт!NS12</f>
        <v>0</v>
      </c>
      <c r="CG10" s="1320"/>
      <c r="CH10" s="1083">
        <f>[1]Субсидия_факт!NW12</f>
        <v>2960000</v>
      </c>
      <c r="CI10" s="1087">
        <f>CH10</f>
        <v>2960000</v>
      </c>
      <c r="CJ10" s="1317">
        <f t="shared" si="41"/>
        <v>0</v>
      </c>
      <c r="CK10" s="1317">
        <f t="shared" si="42"/>
        <v>0</v>
      </c>
      <c r="CL10" s="1318">
        <f>[1]Субсидия_факт!NY12</f>
        <v>2960000</v>
      </c>
      <c r="CM10" s="1319">
        <f t="shared" si="43"/>
        <v>2960000</v>
      </c>
      <c r="CN10" s="1083">
        <f>[1]Субсидия_факт!OC12</f>
        <v>372279.43999999994</v>
      </c>
      <c r="CO10" s="1087">
        <f t="shared" si="44"/>
        <v>372279.43999999994</v>
      </c>
      <c r="CP10" s="1317">
        <f t="shared" si="45"/>
        <v>233483.04999999993</v>
      </c>
      <c r="CQ10" s="1317">
        <f t="shared" si="46"/>
        <v>233483.04999999993</v>
      </c>
      <c r="CR10" s="1318">
        <f>[1]Субсидия_факт!OE12</f>
        <v>138796.39000000001</v>
      </c>
      <c r="CS10" s="1319">
        <f t="shared" si="47"/>
        <v>138796.39000000001</v>
      </c>
      <c r="CT10" s="1083">
        <f>[1]Субсидия_факт!PM12</f>
        <v>45039274</v>
      </c>
      <c r="CU10" s="1084">
        <v>30903529</v>
      </c>
      <c r="CV10" s="1317">
        <f t="shared" si="48"/>
        <v>12276714</v>
      </c>
      <c r="CW10" s="1317">
        <f t="shared" si="49"/>
        <v>4269666</v>
      </c>
      <c r="CX10" s="1318">
        <f>[1]Субсидия_факт!PO12</f>
        <v>32762560</v>
      </c>
      <c r="CY10" s="1320">
        <v>26633863</v>
      </c>
      <c r="CZ10" s="1083">
        <f>[1]Субсидия_факт!PS12</f>
        <v>6457539.0300000003</v>
      </c>
      <c r="DA10" s="1087">
        <f t="shared" si="4"/>
        <v>6457539.0300000003</v>
      </c>
      <c r="DB10" s="1317">
        <f t="shared" si="50"/>
        <v>5127166.3500000006</v>
      </c>
      <c r="DC10" s="1317">
        <f t="shared" si="51"/>
        <v>5127166.3500000006</v>
      </c>
      <c r="DD10" s="1318">
        <f>[1]Субсидия_факт!PU12</f>
        <v>1330372.68</v>
      </c>
      <c r="DE10" s="1319">
        <f t="shared" si="5"/>
        <v>1330372.68</v>
      </c>
    </row>
    <row r="11" spans="1:109" s="1321" customFormat="1" ht="21" customHeight="1" x14ac:dyDescent="0.3">
      <c r="A11" s="1335" t="s">
        <v>91</v>
      </c>
      <c r="B11" s="1315">
        <f t="shared" si="6"/>
        <v>43659118.560000002</v>
      </c>
      <c r="C11" s="1315">
        <f t="shared" si="7"/>
        <v>24693454.990000002</v>
      </c>
      <c r="D11" s="1316">
        <f t="shared" si="8"/>
        <v>43659118.560000002</v>
      </c>
      <c r="E11" s="1316">
        <f t="shared" si="9"/>
        <v>24693454.990000002</v>
      </c>
      <c r="F11" s="1316">
        <f t="shared" si="10"/>
        <v>0</v>
      </c>
      <c r="G11" s="1316">
        <f t="shared" si="11"/>
        <v>0</v>
      </c>
      <c r="H11" s="1083">
        <f>[1]Субсидия_факт!CK13</f>
        <v>0</v>
      </c>
      <c r="I11" s="1087">
        <f t="shared" si="1"/>
        <v>0</v>
      </c>
      <c r="J11" s="1317">
        <f t="shared" si="12"/>
        <v>0</v>
      </c>
      <c r="K11" s="1317">
        <f t="shared" si="13"/>
        <v>0</v>
      </c>
      <c r="L11" s="1318">
        <f>[1]Субсидия_факт!CM13</f>
        <v>0</v>
      </c>
      <c r="M11" s="1319">
        <f t="shared" si="14"/>
        <v>0</v>
      </c>
      <c r="N11" s="1083">
        <f>[1]Субсидия_факт!FG13</f>
        <v>2839140</v>
      </c>
      <c r="O11" s="1084">
        <v>2351844</v>
      </c>
      <c r="P11" s="1317">
        <f t="shared" si="16"/>
        <v>2839140</v>
      </c>
      <c r="Q11" s="1317">
        <f t="shared" si="17"/>
        <v>2351844</v>
      </c>
      <c r="R11" s="1318">
        <f>[1]Субсидия_факт!FI13</f>
        <v>0</v>
      </c>
      <c r="S11" s="1320"/>
      <c r="T11" s="1083">
        <f>[1]Субсидия_факт!FS13</f>
        <v>6884523</v>
      </c>
      <c r="U11" s="1383">
        <f>22443199.21-'Прочая  субсидия_МР  и  ГО'!AA11-'Проверочная  таблица'!AS15-'Проверочная  таблица'!BE15</f>
        <v>6303506</v>
      </c>
      <c r="V11" s="1317">
        <f t="shared" si="18"/>
        <v>6884523</v>
      </c>
      <c r="W11" s="1317">
        <f t="shared" si="19"/>
        <v>6303506</v>
      </c>
      <c r="X11" s="1318">
        <f>[1]Субсидия_факт!FU13</f>
        <v>0</v>
      </c>
      <c r="Y11" s="1320"/>
      <c r="Z11" s="1083">
        <f>[1]Субсидия_факт!GQ13</f>
        <v>0</v>
      </c>
      <c r="AA11" s="1084"/>
      <c r="AB11" s="1317">
        <f t="shared" si="20"/>
        <v>0</v>
      </c>
      <c r="AC11" s="1317">
        <f t="shared" si="21"/>
        <v>0</v>
      </c>
      <c r="AD11" s="1318">
        <f>[1]Субсидия_факт!GS13</f>
        <v>0</v>
      </c>
      <c r="AE11" s="1320"/>
      <c r="AF11" s="1083">
        <f>[1]Субсидия_факт!GY13</f>
        <v>340592.62</v>
      </c>
      <c r="AG11" s="1087">
        <f t="shared" si="2"/>
        <v>340592.62</v>
      </c>
      <c r="AH11" s="1317">
        <f t="shared" si="22"/>
        <v>340592.62</v>
      </c>
      <c r="AI11" s="1317">
        <f t="shared" si="23"/>
        <v>340592.62</v>
      </c>
      <c r="AJ11" s="1318">
        <f>[1]Субсидия_факт!HA13</f>
        <v>0</v>
      </c>
      <c r="AK11" s="1320"/>
      <c r="AL11" s="1083">
        <f>[1]Субсидия_факт!HK13</f>
        <v>0</v>
      </c>
      <c r="AM11" s="1084"/>
      <c r="AN11" s="1317">
        <f t="shared" si="24"/>
        <v>0</v>
      </c>
      <c r="AO11" s="1317">
        <f t="shared" si="25"/>
        <v>0</v>
      </c>
      <c r="AP11" s="1318">
        <f>[1]Субсидия_факт!HM13</f>
        <v>0</v>
      </c>
      <c r="AQ11" s="1320"/>
      <c r="AR11" s="1083">
        <f>[1]Субсидия_факт!II13</f>
        <v>14920702.57</v>
      </c>
      <c r="AS11" s="1383">
        <f>1570350-'Прочая  субсидия_МР  и  ГО'!AI11</f>
        <v>1570350</v>
      </c>
      <c r="AT11" s="1317">
        <f t="shared" si="26"/>
        <v>14920702.57</v>
      </c>
      <c r="AU11" s="1317">
        <f t="shared" si="27"/>
        <v>1570350</v>
      </c>
      <c r="AV11" s="1318">
        <f>[1]Субсидия_факт!IK13</f>
        <v>0</v>
      </c>
      <c r="AW11" s="1320"/>
      <c r="AX11" s="1083">
        <f>[1]Субсидия_факт!IO13</f>
        <v>0</v>
      </c>
      <c r="AY11" s="1084"/>
      <c r="AZ11" s="1317">
        <f t="shared" si="28"/>
        <v>0</v>
      </c>
      <c r="BA11" s="1317">
        <f t="shared" si="29"/>
        <v>0</v>
      </c>
      <c r="BB11" s="1318">
        <f>[1]Субсидия_факт!IQ13</f>
        <v>0</v>
      </c>
      <c r="BC11" s="1320"/>
      <c r="BD11" s="1083">
        <f>[1]Субсидия_факт!MA13</f>
        <v>0</v>
      </c>
      <c r="BE11" s="1084"/>
      <c r="BF11" s="1317">
        <f t="shared" si="30"/>
        <v>0</v>
      </c>
      <c r="BG11" s="1317"/>
      <c r="BH11" s="1318">
        <f>[1]Субсидия_факт!MC13</f>
        <v>0</v>
      </c>
      <c r="BI11" s="1320"/>
      <c r="BJ11" s="1083">
        <f>[1]Субсидия_факт!MS13</f>
        <v>0</v>
      </c>
      <c r="BK11" s="1087">
        <f t="shared" si="3"/>
        <v>0</v>
      </c>
      <c r="BL11" s="1317">
        <f t="shared" si="31"/>
        <v>0</v>
      </c>
      <c r="BM11" s="1317">
        <f t="shared" si="32"/>
        <v>0</v>
      </c>
      <c r="BN11" s="1318">
        <f>[1]Субсидия_факт!MU13</f>
        <v>0</v>
      </c>
      <c r="BO11" s="1319">
        <f t="shared" si="33"/>
        <v>0</v>
      </c>
      <c r="BP11" s="1083">
        <f>[1]Субсидия_факт!NC13</f>
        <v>0</v>
      </c>
      <c r="BQ11" s="1087">
        <f t="shared" si="34"/>
        <v>0</v>
      </c>
      <c r="BR11" s="1317">
        <f t="shared" si="35"/>
        <v>0</v>
      </c>
      <c r="BS11" s="1317"/>
      <c r="BT11" s="1318">
        <f>[1]Субсидия_факт!NE13</f>
        <v>0</v>
      </c>
      <c r="BU11" s="1319">
        <f t="shared" si="36"/>
        <v>0</v>
      </c>
      <c r="BV11" s="1083">
        <f>[1]Субсидия_факт!NK13</f>
        <v>0</v>
      </c>
      <c r="BW11" s="1084"/>
      <c r="BX11" s="1317">
        <f t="shared" si="37"/>
        <v>0</v>
      </c>
      <c r="BY11" s="1317">
        <f t="shared" si="38"/>
        <v>0</v>
      </c>
      <c r="BZ11" s="1318">
        <f>[1]Субсидия_факт!NM13</f>
        <v>0</v>
      </c>
      <c r="CA11" s="1320"/>
      <c r="CB11" s="1083">
        <f>[1]Субсидия_факт!NQ13</f>
        <v>0</v>
      </c>
      <c r="CC11" s="1084"/>
      <c r="CD11" s="1317">
        <f t="shared" si="39"/>
        <v>0</v>
      </c>
      <c r="CE11" s="1317">
        <f t="shared" si="40"/>
        <v>0</v>
      </c>
      <c r="CF11" s="1318">
        <f>[1]Субсидия_факт!NS13</f>
        <v>0</v>
      </c>
      <c r="CG11" s="1320"/>
      <c r="CH11" s="1083">
        <f>[1]Субсидия_факт!NW13</f>
        <v>0</v>
      </c>
      <c r="CI11" s="1084"/>
      <c r="CJ11" s="1317">
        <f t="shared" si="41"/>
        <v>0</v>
      </c>
      <c r="CK11" s="1317">
        <f t="shared" si="42"/>
        <v>0</v>
      </c>
      <c r="CL11" s="1318">
        <f>[1]Субсидия_факт!NY13</f>
        <v>0</v>
      </c>
      <c r="CM11" s="1319">
        <f t="shared" si="43"/>
        <v>0</v>
      </c>
      <c r="CN11" s="1083">
        <f>[1]Субсидия_факт!OC13</f>
        <v>288917.37000000005</v>
      </c>
      <c r="CO11" s="1087">
        <f t="shared" si="44"/>
        <v>288917.37000000005</v>
      </c>
      <c r="CP11" s="1317">
        <f t="shared" si="45"/>
        <v>288917.37000000005</v>
      </c>
      <c r="CQ11" s="1317">
        <f t="shared" si="46"/>
        <v>288917.37000000005</v>
      </c>
      <c r="CR11" s="1318">
        <f>[1]Субсидия_факт!OE13</f>
        <v>0</v>
      </c>
      <c r="CS11" s="1319">
        <f t="shared" si="47"/>
        <v>0</v>
      </c>
      <c r="CT11" s="1083">
        <f>[1]Субсидия_факт!PM13</f>
        <v>18385243</v>
      </c>
      <c r="CU11" s="1084">
        <v>13838245</v>
      </c>
      <c r="CV11" s="1317">
        <f t="shared" si="48"/>
        <v>18385243</v>
      </c>
      <c r="CW11" s="1317">
        <f t="shared" si="49"/>
        <v>13838245</v>
      </c>
      <c r="CX11" s="1318">
        <f>[1]Субсидия_факт!PO13</f>
        <v>0</v>
      </c>
      <c r="CY11" s="1320"/>
      <c r="CZ11" s="1083">
        <f>[1]Субсидия_факт!PS13</f>
        <v>0</v>
      </c>
      <c r="DA11" s="1087">
        <f t="shared" si="4"/>
        <v>0</v>
      </c>
      <c r="DB11" s="1317">
        <f t="shared" si="50"/>
        <v>0</v>
      </c>
      <c r="DC11" s="1317">
        <f t="shared" si="51"/>
        <v>0</v>
      </c>
      <c r="DD11" s="1318">
        <f>[1]Субсидия_факт!PU13</f>
        <v>0</v>
      </c>
      <c r="DE11" s="1319">
        <f t="shared" si="5"/>
        <v>0</v>
      </c>
    </row>
    <row r="12" spans="1:109" s="1321" customFormat="1" ht="21" customHeight="1" x14ac:dyDescent="0.3">
      <c r="A12" s="1335" t="s">
        <v>92</v>
      </c>
      <c r="B12" s="1315">
        <f t="shared" si="6"/>
        <v>84594148.539999992</v>
      </c>
      <c r="C12" s="1315">
        <f t="shared" si="7"/>
        <v>50679434.539999999</v>
      </c>
      <c r="D12" s="1316">
        <f t="shared" si="8"/>
        <v>84594148.539999992</v>
      </c>
      <c r="E12" s="1316">
        <f t="shared" si="9"/>
        <v>50679434.539999999</v>
      </c>
      <c r="F12" s="1316">
        <f t="shared" si="10"/>
        <v>0</v>
      </c>
      <c r="G12" s="1316">
        <f t="shared" si="11"/>
        <v>0</v>
      </c>
      <c r="H12" s="1083">
        <f>[1]Субсидия_факт!CK14</f>
        <v>0</v>
      </c>
      <c r="I12" s="1087">
        <f t="shared" si="1"/>
        <v>0</v>
      </c>
      <c r="J12" s="1317">
        <f t="shared" si="12"/>
        <v>0</v>
      </c>
      <c r="K12" s="1317">
        <f t="shared" si="13"/>
        <v>0</v>
      </c>
      <c r="L12" s="1318">
        <f>[1]Субсидия_факт!CM14</f>
        <v>0</v>
      </c>
      <c r="M12" s="1319">
        <f t="shared" si="14"/>
        <v>0</v>
      </c>
      <c r="N12" s="1083">
        <f>[1]Субсидия_факт!FG14</f>
        <v>686595</v>
      </c>
      <c r="O12" s="1084">
        <v>673595</v>
      </c>
      <c r="P12" s="1317">
        <f t="shared" si="16"/>
        <v>686595</v>
      </c>
      <c r="Q12" s="1317">
        <f t="shared" si="17"/>
        <v>673595</v>
      </c>
      <c r="R12" s="1318">
        <f>[1]Субсидия_факт!FI14</f>
        <v>0</v>
      </c>
      <c r="S12" s="1320"/>
      <c r="T12" s="1083">
        <f>[1]Субсидия_факт!FS14</f>
        <v>8815527</v>
      </c>
      <c r="U12" s="1383">
        <f>11528496-'Прочая  субсидия_МР  и  ГО'!AA12-'Проверочная  таблица'!AS16-'Проверочная  таблица'!BE16</f>
        <v>0</v>
      </c>
      <c r="V12" s="1317">
        <f t="shared" si="18"/>
        <v>8815527</v>
      </c>
      <c r="W12" s="1317">
        <f t="shared" si="19"/>
        <v>0</v>
      </c>
      <c r="X12" s="1318">
        <f>[1]Субсидия_факт!FU14</f>
        <v>0</v>
      </c>
      <c r="Y12" s="1320"/>
      <c r="Z12" s="1083">
        <f>[1]Субсидия_факт!GQ14</f>
        <v>0</v>
      </c>
      <c r="AA12" s="1084"/>
      <c r="AB12" s="1317">
        <f t="shared" si="20"/>
        <v>0</v>
      </c>
      <c r="AC12" s="1317">
        <f t="shared" si="21"/>
        <v>0</v>
      </c>
      <c r="AD12" s="1318">
        <f>[1]Субсидия_факт!GS14</f>
        <v>0</v>
      </c>
      <c r="AE12" s="1320"/>
      <c r="AF12" s="1083">
        <f>[1]Субсидия_факт!GY14</f>
        <v>427208.4</v>
      </c>
      <c r="AG12" s="1087">
        <f t="shared" si="2"/>
        <v>427208.4</v>
      </c>
      <c r="AH12" s="1317">
        <f t="shared" si="22"/>
        <v>427208.4</v>
      </c>
      <c r="AI12" s="1317">
        <f t="shared" si="23"/>
        <v>427208.4</v>
      </c>
      <c r="AJ12" s="1318">
        <f>[1]Субсидия_факт!HA14</f>
        <v>0</v>
      </c>
      <c r="AK12" s="1320"/>
      <c r="AL12" s="1083">
        <f>[1]Субсидия_факт!HK14</f>
        <v>190000</v>
      </c>
      <c r="AM12" s="1087">
        <f>AL12</f>
        <v>190000</v>
      </c>
      <c r="AN12" s="1317">
        <f t="shared" si="24"/>
        <v>190000</v>
      </c>
      <c r="AO12" s="1317">
        <f t="shared" si="25"/>
        <v>190000</v>
      </c>
      <c r="AP12" s="1318">
        <f>[1]Субсидия_факт!HM14</f>
        <v>0</v>
      </c>
      <c r="AQ12" s="1320"/>
      <c r="AR12" s="1083">
        <f>[1]Субсидия_факт!II14</f>
        <v>17621551</v>
      </c>
      <c r="AS12" s="1383">
        <f>0-'Прочая  субсидия_МР  и  ГО'!AI12</f>
        <v>0</v>
      </c>
      <c r="AT12" s="1317">
        <f t="shared" si="26"/>
        <v>17621551</v>
      </c>
      <c r="AU12" s="1317">
        <f t="shared" si="27"/>
        <v>0</v>
      </c>
      <c r="AV12" s="1318">
        <f>[1]Субсидия_факт!IK14</f>
        <v>0</v>
      </c>
      <c r="AW12" s="1320"/>
      <c r="AX12" s="1083">
        <f>[1]Субсидия_факт!IO14</f>
        <v>0</v>
      </c>
      <c r="AY12" s="1084"/>
      <c r="AZ12" s="1317">
        <f t="shared" si="28"/>
        <v>0</v>
      </c>
      <c r="BA12" s="1317">
        <f t="shared" si="29"/>
        <v>0</v>
      </c>
      <c r="BB12" s="1318">
        <f>[1]Субсидия_факт!IQ14</f>
        <v>0</v>
      </c>
      <c r="BC12" s="1320"/>
      <c r="BD12" s="1083">
        <f>[1]Субсидия_факт!MA14</f>
        <v>0</v>
      </c>
      <c r="BE12" s="1084"/>
      <c r="BF12" s="1317">
        <f t="shared" si="30"/>
        <v>0</v>
      </c>
      <c r="BG12" s="1317"/>
      <c r="BH12" s="1318">
        <f>[1]Субсидия_факт!MC14</f>
        <v>0</v>
      </c>
      <c r="BI12" s="1320"/>
      <c r="BJ12" s="1083">
        <f>[1]Субсидия_факт!MS14</f>
        <v>0</v>
      </c>
      <c r="BK12" s="1087">
        <f t="shared" si="3"/>
        <v>0</v>
      </c>
      <c r="BL12" s="1317">
        <f t="shared" si="31"/>
        <v>0</v>
      </c>
      <c r="BM12" s="1317">
        <f t="shared" si="32"/>
        <v>0</v>
      </c>
      <c r="BN12" s="1318">
        <f>[1]Субсидия_факт!MU14</f>
        <v>0</v>
      </c>
      <c r="BO12" s="1319">
        <f t="shared" si="33"/>
        <v>0</v>
      </c>
      <c r="BP12" s="1083">
        <f>[1]Субсидия_факт!NC14</f>
        <v>0</v>
      </c>
      <c r="BQ12" s="1087">
        <f t="shared" si="34"/>
        <v>0</v>
      </c>
      <c r="BR12" s="1317">
        <f t="shared" si="35"/>
        <v>0</v>
      </c>
      <c r="BS12" s="1317"/>
      <c r="BT12" s="1318">
        <f>[1]Субсидия_факт!NE14</f>
        <v>0</v>
      </c>
      <c r="BU12" s="1319">
        <f t="shared" si="36"/>
        <v>0</v>
      </c>
      <c r="BV12" s="1083">
        <f>[1]Субсидия_факт!NK14</f>
        <v>0</v>
      </c>
      <c r="BW12" s="1084"/>
      <c r="BX12" s="1317">
        <f t="shared" si="37"/>
        <v>0</v>
      </c>
      <c r="BY12" s="1317">
        <f t="shared" si="38"/>
        <v>0</v>
      </c>
      <c r="BZ12" s="1318">
        <f>[1]Субсидия_факт!NM14</f>
        <v>0</v>
      </c>
      <c r="CA12" s="1320"/>
      <c r="CB12" s="1083">
        <f>[1]Субсидия_факт!NQ14</f>
        <v>0</v>
      </c>
      <c r="CC12" s="1084"/>
      <c r="CD12" s="1317">
        <f t="shared" si="39"/>
        <v>0</v>
      </c>
      <c r="CE12" s="1317">
        <f t="shared" si="40"/>
        <v>0</v>
      </c>
      <c r="CF12" s="1318">
        <f>[1]Субсидия_факт!NS14</f>
        <v>0</v>
      </c>
      <c r="CG12" s="1320"/>
      <c r="CH12" s="1083">
        <f>[1]Субсидия_факт!NW14</f>
        <v>0</v>
      </c>
      <c r="CI12" s="1084"/>
      <c r="CJ12" s="1317">
        <f t="shared" si="41"/>
        <v>0</v>
      </c>
      <c r="CK12" s="1317">
        <f t="shared" si="42"/>
        <v>0</v>
      </c>
      <c r="CL12" s="1318">
        <f>[1]Субсидия_факт!NY14</f>
        <v>0</v>
      </c>
      <c r="CM12" s="1319">
        <f t="shared" si="43"/>
        <v>0</v>
      </c>
      <c r="CN12" s="1083">
        <f>[1]Субсидия_факт!OC14</f>
        <v>516497.4</v>
      </c>
      <c r="CO12" s="1087">
        <f t="shared" si="44"/>
        <v>516497.4</v>
      </c>
      <c r="CP12" s="1317">
        <f t="shared" si="45"/>
        <v>516497.4</v>
      </c>
      <c r="CQ12" s="1317">
        <f t="shared" si="46"/>
        <v>516497.4</v>
      </c>
      <c r="CR12" s="1318">
        <f>[1]Субсидия_факт!OE14</f>
        <v>0</v>
      </c>
      <c r="CS12" s="1319">
        <f t="shared" si="47"/>
        <v>0</v>
      </c>
      <c r="CT12" s="1083">
        <f>[1]Субсидия_факт!PM14</f>
        <v>47121353</v>
      </c>
      <c r="CU12" s="1084">
        <v>39656717</v>
      </c>
      <c r="CV12" s="1317">
        <f t="shared" si="48"/>
        <v>47121353</v>
      </c>
      <c r="CW12" s="1317">
        <f t="shared" si="49"/>
        <v>39656717</v>
      </c>
      <c r="CX12" s="1318">
        <f>[1]Субсидия_факт!PO14</f>
        <v>0</v>
      </c>
      <c r="CY12" s="1320"/>
      <c r="CZ12" s="1083">
        <f>[1]Субсидия_факт!PS14</f>
        <v>9215416.7400000002</v>
      </c>
      <c r="DA12" s="1087">
        <f t="shared" si="4"/>
        <v>9215416.7400000002</v>
      </c>
      <c r="DB12" s="1317">
        <f t="shared" si="50"/>
        <v>9215416.7400000002</v>
      </c>
      <c r="DC12" s="1317">
        <f t="shared" si="51"/>
        <v>9215416.7400000002</v>
      </c>
      <c r="DD12" s="1318">
        <f>[1]Субсидия_факт!PU14</f>
        <v>0</v>
      </c>
      <c r="DE12" s="1319">
        <f t="shared" si="5"/>
        <v>0</v>
      </c>
    </row>
    <row r="13" spans="1:109" s="1321" customFormat="1" ht="21" customHeight="1" x14ac:dyDescent="0.3">
      <c r="A13" s="1335" t="s">
        <v>93</v>
      </c>
      <c r="B13" s="1315">
        <f t="shared" si="6"/>
        <v>30823539.690000001</v>
      </c>
      <c r="C13" s="1315">
        <f t="shared" si="7"/>
        <v>23756184.330000002</v>
      </c>
      <c r="D13" s="1316">
        <f t="shared" si="8"/>
        <v>30823539.690000001</v>
      </c>
      <c r="E13" s="1316">
        <f t="shared" si="9"/>
        <v>23756184.330000002</v>
      </c>
      <c r="F13" s="1316">
        <f t="shared" si="10"/>
        <v>0</v>
      </c>
      <c r="G13" s="1316">
        <f t="shared" si="11"/>
        <v>0</v>
      </c>
      <c r="H13" s="1083">
        <f>[1]Субсидия_факт!CK15</f>
        <v>0</v>
      </c>
      <c r="I13" s="1087">
        <f t="shared" si="1"/>
        <v>0</v>
      </c>
      <c r="J13" s="1317">
        <f t="shared" si="12"/>
        <v>0</v>
      </c>
      <c r="K13" s="1317">
        <f t="shared" si="13"/>
        <v>0</v>
      </c>
      <c r="L13" s="1318">
        <f>[1]Субсидия_факт!CM15</f>
        <v>0</v>
      </c>
      <c r="M13" s="1319">
        <f t="shared" si="14"/>
        <v>0</v>
      </c>
      <c r="N13" s="1083">
        <f>[1]Субсидия_факт!FG15</f>
        <v>589320</v>
      </c>
      <c r="O13" s="1084">
        <v>589320</v>
      </c>
      <c r="P13" s="1317">
        <f t="shared" si="16"/>
        <v>589320</v>
      </c>
      <c r="Q13" s="1317">
        <f t="shared" si="17"/>
        <v>589320</v>
      </c>
      <c r="R13" s="1318">
        <f>[1]Субсидия_факт!FI15</f>
        <v>0</v>
      </c>
      <c r="S13" s="1320"/>
      <c r="T13" s="1083">
        <f>[1]Субсидия_факт!FS15</f>
        <v>0</v>
      </c>
      <c r="U13" s="1383">
        <f>18375305-'Прочая  субсидия_МР  и  ГО'!AA13-'Проверочная  таблица'!AS17-'Проверочная  таблица'!BE17</f>
        <v>0</v>
      </c>
      <c r="V13" s="1317">
        <f t="shared" si="18"/>
        <v>0</v>
      </c>
      <c r="W13" s="1317">
        <f t="shared" si="19"/>
        <v>0</v>
      </c>
      <c r="X13" s="1318">
        <f>[1]Субсидия_факт!FU15</f>
        <v>0</v>
      </c>
      <c r="Y13" s="1320"/>
      <c r="Z13" s="1083">
        <f>[1]Субсидия_факт!GQ15</f>
        <v>0</v>
      </c>
      <c r="AA13" s="1084"/>
      <c r="AB13" s="1317">
        <f t="shared" si="20"/>
        <v>0</v>
      </c>
      <c r="AC13" s="1317">
        <f t="shared" si="21"/>
        <v>0</v>
      </c>
      <c r="AD13" s="1318">
        <f>[1]Субсидия_факт!GS15</f>
        <v>0</v>
      </c>
      <c r="AE13" s="1320"/>
      <c r="AF13" s="1083">
        <f>[1]Субсидия_факт!GY15</f>
        <v>319761</v>
      </c>
      <c r="AG13" s="1087">
        <f t="shared" si="2"/>
        <v>319761</v>
      </c>
      <c r="AH13" s="1317">
        <f t="shared" si="22"/>
        <v>319761</v>
      </c>
      <c r="AI13" s="1317">
        <f t="shared" si="23"/>
        <v>319761</v>
      </c>
      <c r="AJ13" s="1318">
        <f>[1]Субсидия_факт!HA15</f>
        <v>0</v>
      </c>
      <c r="AK13" s="1320"/>
      <c r="AL13" s="1083">
        <f>[1]Субсидия_факт!HK15</f>
        <v>0</v>
      </c>
      <c r="AM13" s="1084"/>
      <c r="AN13" s="1317">
        <f t="shared" si="24"/>
        <v>0</v>
      </c>
      <c r="AO13" s="1317">
        <f t="shared" si="25"/>
        <v>0</v>
      </c>
      <c r="AP13" s="1318">
        <f>[1]Субсидия_факт!HM15</f>
        <v>0</v>
      </c>
      <c r="AQ13" s="1320"/>
      <c r="AR13" s="1083">
        <f>[1]Субсидия_факт!II15</f>
        <v>8742719.3599999994</v>
      </c>
      <c r="AS13" s="1383">
        <f>6846302-'Прочая  субсидия_МР  и  ГО'!AI13</f>
        <v>6846302</v>
      </c>
      <c r="AT13" s="1317">
        <f t="shared" si="26"/>
        <v>8742719.3599999994</v>
      </c>
      <c r="AU13" s="1317">
        <f t="shared" si="27"/>
        <v>6846302</v>
      </c>
      <c r="AV13" s="1318">
        <f>[1]Субсидия_факт!IK15</f>
        <v>0</v>
      </c>
      <c r="AW13" s="1320"/>
      <c r="AX13" s="1083">
        <f>[1]Субсидия_факт!IO15</f>
        <v>0</v>
      </c>
      <c r="AY13" s="1084"/>
      <c r="AZ13" s="1317">
        <f t="shared" si="28"/>
        <v>0</v>
      </c>
      <c r="BA13" s="1317">
        <f t="shared" si="29"/>
        <v>0</v>
      </c>
      <c r="BB13" s="1318">
        <f>[1]Субсидия_факт!IQ15</f>
        <v>0</v>
      </c>
      <c r="BC13" s="1320"/>
      <c r="BD13" s="1083">
        <f>[1]Субсидия_факт!MA15</f>
        <v>0</v>
      </c>
      <c r="BE13" s="1084"/>
      <c r="BF13" s="1317">
        <f t="shared" si="30"/>
        <v>0</v>
      </c>
      <c r="BG13" s="1317"/>
      <c r="BH13" s="1318">
        <f>[1]Субсидия_факт!MC15</f>
        <v>0</v>
      </c>
      <c r="BI13" s="1320"/>
      <c r="BJ13" s="1083">
        <f>[1]Субсидия_факт!MS15</f>
        <v>0</v>
      </c>
      <c r="BK13" s="1087">
        <f t="shared" si="3"/>
        <v>0</v>
      </c>
      <c r="BL13" s="1317">
        <f t="shared" si="31"/>
        <v>0</v>
      </c>
      <c r="BM13" s="1317">
        <f t="shared" si="32"/>
        <v>0</v>
      </c>
      <c r="BN13" s="1318">
        <f>[1]Субсидия_факт!MU15</f>
        <v>0</v>
      </c>
      <c r="BO13" s="1319">
        <f t="shared" si="33"/>
        <v>0</v>
      </c>
      <c r="BP13" s="1083">
        <f>[1]Субсидия_факт!NC15</f>
        <v>0</v>
      </c>
      <c r="BQ13" s="1087">
        <f t="shared" si="34"/>
        <v>0</v>
      </c>
      <c r="BR13" s="1317">
        <f t="shared" si="35"/>
        <v>0</v>
      </c>
      <c r="BS13" s="1317"/>
      <c r="BT13" s="1318">
        <f>[1]Субсидия_факт!NE15</f>
        <v>0</v>
      </c>
      <c r="BU13" s="1319">
        <f t="shared" si="36"/>
        <v>0</v>
      </c>
      <c r="BV13" s="1083">
        <f>[1]Субсидия_факт!NK15</f>
        <v>0</v>
      </c>
      <c r="BW13" s="1084"/>
      <c r="BX13" s="1317">
        <f t="shared" si="37"/>
        <v>0</v>
      </c>
      <c r="BY13" s="1317">
        <f t="shared" si="38"/>
        <v>0</v>
      </c>
      <c r="BZ13" s="1318">
        <f>[1]Субсидия_факт!NM15</f>
        <v>0</v>
      </c>
      <c r="CA13" s="1320"/>
      <c r="CB13" s="1083">
        <f>[1]Субсидия_факт!NQ15</f>
        <v>0</v>
      </c>
      <c r="CC13" s="1084"/>
      <c r="CD13" s="1317">
        <f t="shared" si="39"/>
        <v>0</v>
      </c>
      <c r="CE13" s="1317">
        <f t="shared" si="40"/>
        <v>0</v>
      </c>
      <c r="CF13" s="1318">
        <f>[1]Субсидия_факт!NS15</f>
        <v>0</v>
      </c>
      <c r="CG13" s="1320"/>
      <c r="CH13" s="1083">
        <f>[1]Субсидия_факт!NW15</f>
        <v>0</v>
      </c>
      <c r="CI13" s="1084"/>
      <c r="CJ13" s="1317">
        <f t="shared" si="41"/>
        <v>0</v>
      </c>
      <c r="CK13" s="1317">
        <f t="shared" si="42"/>
        <v>0</v>
      </c>
      <c r="CL13" s="1318">
        <f>[1]Субсидия_факт!NY15</f>
        <v>0</v>
      </c>
      <c r="CM13" s="1319">
        <f t="shared" si="43"/>
        <v>0</v>
      </c>
      <c r="CN13" s="1083">
        <f>[1]Субсидия_факт!OC15</f>
        <v>450820.89</v>
      </c>
      <c r="CO13" s="1087">
        <f t="shared" si="44"/>
        <v>450820.89</v>
      </c>
      <c r="CP13" s="1317">
        <f t="shared" si="45"/>
        <v>450820.89</v>
      </c>
      <c r="CQ13" s="1317">
        <f t="shared" si="46"/>
        <v>450820.89</v>
      </c>
      <c r="CR13" s="1318">
        <f>[1]Субсидия_факт!OE15</f>
        <v>0</v>
      </c>
      <c r="CS13" s="1319">
        <f t="shared" si="47"/>
        <v>0</v>
      </c>
      <c r="CT13" s="1083">
        <f>[1]Субсидия_факт!PM15</f>
        <v>15359026</v>
      </c>
      <c r="CU13" s="1084">
        <v>10188088</v>
      </c>
      <c r="CV13" s="1317">
        <f t="shared" si="48"/>
        <v>15359026</v>
      </c>
      <c r="CW13" s="1317">
        <f t="shared" si="49"/>
        <v>10188088</v>
      </c>
      <c r="CX13" s="1318">
        <f>[1]Субсидия_факт!PO15</f>
        <v>0</v>
      </c>
      <c r="CY13" s="1320"/>
      <c r="CZ13" s="1083">
        <f>[1]Субсидия_факт!PS15</f>
        <v>5361892.4400000004</v>
      </c>
      <c r="DA13" s="1087">
        <f t="shared" si="4"/>
        <v>5361892.4400000004</v>
      </c>
      <c r="DB13" s="1317">
        <f t="shared" si="50"/>
        <v>5361892.4400000004</v>
      </c>
      <c r="DC13" s="1317">
        <f t="shared" si="51"/>
        <v>5361892.4400000004</v>
      </c>
      <c r="DD13" s="1318">
        <f>[1]Субсидия_факт!PU15</f>
        <v>0</v>
      </c>
      <c r="DE13" s="1319">
        <f t="shared" si="5"/>
        <v>0</v>
      </c>
    </row>
    <row r="14" spans="1:109" s="1321" customFormat="1" ht="21" customHeight="1" x14ac:dyDescent="0.3">
      <c r="A14" s="1335" t="s">
        <v>94</v>
      </c>
      <c r="B14" s="1315">
        <f t="shared" si="6"/>
        <v>59265120.780000001</v>
      </c>
      <c r="C14" s="1315">
        <f t="shared" si="7"/>
        <v>57814955.869999997</v>
      </c>
      <c r="D14" s="1316">
        <f t="shared" si="8"/>
        <v>59265120.780000001</v>
      </c>
      <c r="E14" s="1316">
        <f t="shared" si="9"/>
        <v>57814955.869999997</v>
      </c>
      <c r="F14" s="1316">
        <f t="shared" si="10"/>
        <v>0</v>
      </c>
      <c r="G14" s="1316">
        <f t="shared" si="11"/>
        <v>0</v>
      </c>
      <c r="H14" s="1083">
        <f>[1]Субсидия_факт!CK16</f>
        <v>0</v>
      </c>
      <c r="I14" s="1087">
        <f t="shared" si="1"/>
        <v>0</v>
      </c>
      <c r="J14" s="1317">
        <f t="shared" si="12"/>
        <v>0</v>
      </c>
      <c r="K14" s="1317">
        <f t="shared" si="13"/>
        <v>0</v>
      </c>
      <c r="L14" s="1318">
        <f>[1]Субсидия_факт!CM16</f>
        <v>0</v>
      </c>
      <c r="M14" s="1319">
        <f t="shared" si="14"/>
        <v>0</v>
      </c>
      <c r="N14" s="1083">
        <f>[1]Субсидия_факт!FG16</f>
        <v>2404284</v>
      </c>
      <c r="O14" s="1087">
        <f t="shared" ref="O14" si="52">N14</f>
        <v>2404284</v>
      </c>
      <c r="P14" s="1317">
        <f t="shared" si="16"/>
        <v>2404284</v>
      </c>
      <c r="Q14" s="1317">
        <f t="shared" si="17"/>
        <v>2404284</v>
      </c>
      <c r="R14" s="1318">
        <f>[1]Субсидия_факт!FI16</f>
        <v>0</v>
      </c>
      <c r="S14" s="1320"/>
      <c r="T14" s="1083">
        <f>[1]Субсидия_факт!FS16</f>
        <v>9771453</v>
      </c>
      <c r="U14" s="1383">
        <f>18909701-'Прочая  субсидия_МР  и  ГО'!AA14-'Проверочная  таблица'!AS18-'Проверочная  таблица'!BE18</f>
        <v>9482395</v>
      </c>
      <c r="V14" s="1317">
        <f t="shared" si="18"/>
        <v>9771453</v>
      </c>
      <c r="W14" s="1317">
        <f t="shared" si="19"/>
        <v>9482395</v>
      </c>
      <c r="X14" s="1318">
        <f>[1]Субсидия_факт!FU16</f>
        <v>0</v>
      </c>
      <c r="Y14" s="1320"/>
      <c r="Z14" s="1083">
        <f>[1]Субсидия_факт!GQ16</f>
        <v>0</v>
      </c>
      <c r="AA14" s="1084"/>
      <c r="AB14" s="1317">
        <f t="shared" si="20"/>
        <v>0</v>
      </c>
      <c r="AC14" s="1317">
        <f t="shared" si="21"/>
        <v>0</v>
      </c>
      <c r="AD14" s="1318">
        <f>[1]Субсидия_факт!GS16</f>
        <v>0</v>
      </c>
      <c r="AE14" s="1320"/>
      <c r="AF14" s="1083">
        <f>[1]Субсидия_факт!GY16</f>
        <v>1042123.45</v>
      </c>
      <c r="AG14" s="1087">
        <f t="shared" si="2"/>
        <v>1042123.45</v>
      </c>
      <c r="AH14" s="1317">
        <f t="shared" si="22"/>
        <v>1042123.45</v>
      </c>
      <c r="AI14" s="1317">
        <f t="shared" si="23"/>
        <v>1042123.45</v>
      </c>
      <c r="AJ14" s="1318">
        <f>[1]Субсидия_факт!HA16</f>
        <v>0</v>
      </c>
      <c r="AK14" s="1320"/>
      <c r="AL14" s="1083">
        <f>[1]Субсидия_факт!HK16</f>
        <v>0</v>
      </c>
      <c r="AM14" s="1084"/>
      <c r="AN14" s="1317">
        <f t="shared" si="24"/>
        <v>0</v>
      </c>
      <c r="AO14" s="1317">
        <f t="shared" si="25"/>
        <v>0</v>
      </c>
      <c r="AP14" s="1318">
        <f>[1]Субсидия_факт!HM16</f>
        <v>0</v>
      </c>
      <c r="AQ14" s="1320"/>
      <c r="AR14" s="1083">
        <f>[1]Субсидия_факт!II16</f>
        <v>690834.7</v>
      </c>
      <c r="AS14" s="1383">
        <f>1656940.84-'Прочая  субсидия_МР  и  ГО'!AI14</f>
        <v>343585.79000000004</v>
      </c>
      <c r="AT14" s="1317">
        <f t="shared" si="26"/>
        <v>690834.7</v>
      </c>
      <c r="AU14" s="1317">
        <f t="shared" si="27"/>
        <v>343585.79000000004</v>
      </c>
      <c r="AV14" s="1318">
        <f>[1]Субсидия_факт!IK16</f>
        <v>0</v>
      </c>
      <c r="AW14" s="1320"/>
      <c r="AX14" s="1083">
        <f>[1]Субсидия_факт!IO16</f>
        <v>0</v>
      </c>
      <c r="AY14" s="1084"/>
      <c r="AZ14" s="1317">
        <f t="shared" si="28"/>
        <v>0</v>
      </c>
      <c r="BA14" s="1317">
        <f t="shared" si="29"/>
        <v>0</v>
      </c>
      <c r="BB14" s="1318">
        <f>[1]Субсидия_факт!IQ16</f>
        <v>0</v>
      </c>
      <c r="BC14" s="1320"/>
      <c r="BD14" s="1083">
        <f>[1]Субсидия_факт!MA16</f>
        <v>0</v>
      </c>
      <c r="BE14" s="1084"/>
      <c r="BF14" s="1317">
        <f t="shared" si="30"/>
        <v>0</v>
      </c>
      <c r="BG14" s="1317"/>
      <c r="BH14" s="1318">
        <f>[1]Субсидия_факт!MC16</f>
        <v>0</v>
      </c>
      <c r="BI14" s="1320"/>
      <c r="BJ14" s="1083">
        <f>[1]Субсидия_факт!MS16</f>
        <v>0</v>
      </c>
      <c r="BK14" s="1087">
        <f t="shared" si="3"/>
        <v>0</v>
      </c>
      <c r="BL14" s="1317">
        <f t="shared" si="31"/>
        <v>0</v>
      </c>
      <c r="BM14" s="1317">
        <f t="shared" si="32"/>
        <v>0</v>
      </c>
      <c r="BN14" s="1318">
        <f>[1]Субсидия_факт!MU16</f>
        <v>0</v>
      </c>
      <c r="BO14" s="1319">
        <f t="shared" si="33"/>
        <v>0</v>
      </c>
      <c r="BP14" s="1083">
        <f>[1]Субсидия_факт!NC16</f>
        <v>0</v>
      </c>
      <c r="BQ14" s="1087">
        <f t="shared" si="34"/>
        <v>0</v>
      </c>
      <c r="BR14" s="1317">
        <f t="shared" si="35"/>
        <v>0</v>
      </c>
      <c r="BS14" s="1317"/>
      <c r="BT14" s="1318">
        <f>[1]Субсидия_факт!NE16</f>
        <v>0</v>
      </c>
      <c r="BU14" s="1319">
        <f t="shared" si="36"/>
        <v>0</v>
      </c>
      <c r="BV14" s="1083">
        <f>[1]Субсидия_факт!NK16</f>
        <v>0</v>
      </c>
      <c r="BW14" s="1084"/>
      <c r="BX14" s="1317">
        <f t="shared" si="37"/>
        <v>0</v>
      </c>
      <c r="BY14" s="1317">
        <f t="shared" si="38"/>
        <v>0</v>
      </c>
      <c r="BZ14" s="1318">
        <f>[1]Субсидия_факт!NM16</f>
        <v>0</v>
      </c>
      <c r="CA14" s="1320"/>
      <c r="CB14" s="1083">
        <f>[1]Субсидия_факт!NQ16</f>
        <v>0</v>
      </c>
      <c r="CC14" s="1084"/>
      <c r="CD14" s="1317">
        <f t="shared" si="39"/>
        <v>0</v>
      </c>
      <c r="CE14" s="1317">
        <f t="shared" si="40"/>
        <v>0</v>
      </c>
      <c r="CF14" s="1318">
        <f>[1]Субсидия_факт!NS16</f>
        <v>0</v>
      </c>
      <c r="CG14" s="1320"/>
      <c r="CH14" s="1083">
        <f>[1]Субсидия_факт!NW16</f>
        <v>0</v>
      </c>
      <c r="CI14" s="1084"/>
      <c r="CJ14" s="1317">
        <f t="shared" si="41"/>
        <v>0</v>
      </c>
      <c r="CK14" s="1317">
        <f t="shared" si="42"/>
        <v>0</v>
      </c>
      <c r="CL14" s="1318">
        <f>[1]Субсидия_факт!NY16</f>
        <v>0</v>
      </c>
      <c r="CM14" s="1319">
        <f t="shared" si="43"/>
        <v>0</v>
      </c>
      <c r="CN14" s="1083">
        <f>[1]Субсидия_факт!OC16</f>
        <v>468592.41</v>
      </c>
      <c r="CO14" s="1087">
        <f t="shared" si="44"/>
        <v>468592.41</v>
      </c>
      <c r="CP14" s="1317">
        <f t="shared" si="45"/>
        <v>468592.41</v>
      </c>
      <c r="CQ14" s="1317">
        <f t="shared" si="46"/>
        <v>468592.41</v>
      </c>
      <c r="CR14" s="1318">
        <f>[1]Субсидия_факт!OE16</f>
        <v>0</v>
      </c>
      <c r="CS14" s="1319">
        <f t="shared" si="47"/>
        <v>0</v>
      </c>
      <c r="CT14" s="1083">
        <f>[1]Субсидия_факт!PM16</f>
        <v>37948903</v>
      </c>
      <c r="CU14" s="1084">
        <v>37135045</v>
      </c>
      <c r="CV14" s="1317">
        <f t="shared" si="48"/>
        <v>37948903</v>
      </c>
      <c r="CW14" s="1317">
        <f t="shared" si="49"/>
        <v>37135045</v>
      </c>
      <c r="CX14" s="1318">
        <f>[1]Субсидия_факт!PO16</f>
        <v>0</v>
      </c>
      <c r="CY14" s="1320"/>
      <c r="CZ14" s="1083">
        <f>[1]Субсидия_факт!PS16</f>
        <v>6938930.2199999997</v>
      </c>
      <c r="DA14" s="1087">
        <f t="shared" si="4"/>
        <v>6938930.2199999997</v>
      </c>
      <c r="DB14" s="1317">
        <f t="shared" si="50"/>
        <v>6938930.2199999997</v>
      </c>
      <c r="DC14" s="1317">
        <f t="shared" si="51"/>
        <v>6938930.2199999997</v>
      </c>
      <c r="DD14" s="1318">
        <f>[1]Субсидия_факт!PU16</f>
        <v>0</v>
      </c>
      <c r="DE14" s="1319">
        <f t="shared" si="5"/>
        <v>0</v>
      </c>
    </row>
    <row r="15" spans="1:109" s="1321" customFormat="1" ht="21" customHeight="1" x14ac:dyDescent="0.3">
      <c r="A15" s="1335" t="s">
        <v>95</v>
      </c>
      <c r="B15" s="1315">
        <f t="shared" si="6"/>
        <v>40950651.090000004</v>
      </c>
      <c r="C15" s="1315">
        <f t="shared" si="7"/>
        <v>28817990.540000003</v>
      </c>
      <c r="D15" s="1316">
        <f t="shared" si="8"/>
        <v>21410813.549999997</v>
      </c>
      <c r="E15" s="1316">
        <f t="shared" si="9"/>
        <v>11244848.550000001</v>
      </c>
      <c r="F15" s="1316">
        <f t="shared" si="10"/>
        <v>19539837.539999995</v>
      </c>
      <c r="G15" s="1316">
        <f t="shared" si="11"/>
        <v>17573141.989999998</v>
      </c>
      <c r="H15" s="1083">
        <f>[1]Субсидия_факт!CK17</f>
        <v>7718.3</v>
      </c>
      <c r="I15" s="1087">
        <f t="shared" si="1"/>
        <v>7718.3</v>
      </c>
      <c r="J15" s="1317">
        <f t="shared" si="12"/>
        <v>2894.3500000000004</v>
      </c>
      <c r="K15" s="1317">
        <f t="shared" si="13"/>
        <v>2894.3500000000004</v>
      </c>
      <c r="L15" s="1318">
        <f>[1]Субсидия_факт!CM17</f>
        <v>4823.95</v>
      </c>
      <c r="M15" s="1319">
        <f t="shared" si="14"/>
        <v>4823.95</v>
      </c>
      <c r="N15" s="1083">
        <f>[1]Субсидия_факт!FG17</f>
        <v>1610783</v>
      </c>
      <c r="O15" s="1491">
        <v>891683</v>
      </c>
      <c r="P15" s="1317">
        <f t="shared" si="16"/>
        <v>1610783</v>
      </c>
      <c r="Q15" s="1317">
        <f t="shared" si="17"/>
        <v>891683</v>
      </c>
      <c r="R15" s="1318">
        <f>[1]Субсидия_факт!FI17</f>
        <v>0</v>
      </c>
      <c r="S15" s="1320"/>
      <c r="T15" s="1083">
        <f>[1]Субсидия_факт!FS17</f>
        <v>10693318.5</v>
      </c>
      <c r="U15" s="1383">
        <f>12322181-'Прочая  субсидия_МР  и  ГО'!AA15-'Проверочная  таблица'!AS19-'Проверочная  таблица'!BE19</f>
        <v>8946533</v>
      </c>
      <c r="V15" s="1317">
        <f t="shared" si="18"/>
        <v>0</v>
      </c>
      <c r="W15" s="1317">
        <f t="shared" si="19"/>
        <v>0</v>
      </c>
      <c r="X15" s="1318">
        <f>[1]Субсидия_факт!FU17</f>
        <v>10693318.5</v>
      </c>
      <c r="Y15" s="1320">
        <v>8946533</v>
      </c>
      <c r="Z15" s="1083">
        <f>[1]Субсидия_факт!GQ17</f>
        <v>0</v>
      </c>
      <c r="AA15" s="1084"/>
      <c r="AB15" s="1317">
        <f t="shared" si="20"/>
        <v>0</v>
      </c>
      <c r="AC15" s="1317">
        <f t="shared" si="21"/>
        <v>0</v>
      </c>
      <c r="AD15" s="1318">
        <f>[1]Субсидия_факт!GS17</f>
        <v>0</v>
      </c>
      <c r="AE15" s="1320"/>
      <c r="AF15" s="1083">
        <f>[1]Субсидия_факт!GY17</f>
        <v>605361.53</v>
      </c>
      <c r="AG15" s="1087">
        <f t="shared" si="2"/>
        <v>605361.53</v>
      </c>
      <c r="AH15" s="1317">
        <f t="shared" si="22"/>
        <v>330000</v>
      </c>
      <c r="AI15" s="1317">
        <f t="shared" si="23"/>
        <v>330000</v>
      </c>
      <c r="AJ15" s="1318">
        <f>[1]Субсидия_факт!HA17</f>
        <v>275361.53000000003</v>
      </c>
      <c r="AK15" s="1319">
        <f>AJ15</f>
        <v>275361.53000000003</v>
      </c>
      <c r="AL15" s="1083">
        <f>[1]Субсидия_факт!HK17</f>
        <v>0</v>
      </c>
      <c r="AM15" s="1084"/>
      <c r="AN15" s="1317">
        <f t="shared" si="24"/>
        <v>0</v>
      </c>
      <c r="AO15" s="1317">
        <f t="shared" si="25"/>
        <v>0</v>
      </c>
      <c r="AP15" s="1318">
        <f>[1]Субсидия_факт!HM17</f>
        <v>0</v>
      </c>
      <c r="AQ15" s="1320"/>
      <c r="AR15" s="1083">
        <f>[1]Субсидия_факт!II17</f>
        <v>1737650</v>
      </c>
      <c r="AS15" s="1383">
        <f>879642.95-'Прочая  субсидия_МР  и  ГО'!AI15</f>
        <v>879642.95</v>
      </c>
      <c r="AT15" s="1317">
        <f t="shared" si="26"/>
        <v>638097</v>
      </c>
      <c r="AU15" s="1317">
        <f t="shared" si="27"/>
        <v>0</v>
      </c>
      <c r="AV15" s="1318">
        <f>[1]Субсидия_факт!IK17</f>
        <v>1099553</v>
      </c>
      <c r="AW15" s="1320">
        <v>879642.95</v>
      </c>
      <c r="AX15" s="1083">
        <f>[1]Субсидия_факт!IO17</f>
        <v>0</v>
      </c>
      <c r="AY15" s="1084"/>
      <c r="AZ15" s="1317">
        <f t="shared" si="28"/>
        <v>0</v>
      </c>
      <c r="BA15" s="1317">
        <f t="shared" si="29"/>
        <v>0</v>
      </c>
      <c r="BB15" s="1318">
        <f>[1]Субсидия_факт!IQ17</f>
        <v>0</v>
      </c>
      <c r="BC15" s="1320"/>
      <c r="BD15" s="1083">
        <f>[1]Субсидия_факт!MA17</f>
        <v>0</v>
      </c>
      <c r="BE15" s="1084"/>
      <c r="BF15" s="1317">
        <f t="shared" si="30"/>
        <v>0</v>
      </c>
      <c r="BG15" s="1317"/>
      <c r="BH15" s="1318">
        <f>[1]Субсидия_факт!MC17</f>
        <v>0</v>
      </c>
      <c r="BI15" s="1320"/>
      <c r="BJ15" s="1083">
        <f>[1]Субсидия_факт!MS17</f>
        <v>0</v>
      </c>
      <c r="BK15" s="1087">
        <f t="shared" si="3"/>
        <v>0</v>
      </c>
      <c r="BL15" s="1317">
        <f t="shared" si="31"/>
        <v>0</v>
      </c>
      <c r="BM15" s="1317">
        <f t="shared" si="32"/>
        <v>0</v>
      </c>
      <c r="BN15" s="1318">
        <f>[1]Субсидия_факт!MU17</f>
        <v>0</v>
      </c>
      <c r="BO15" s="1319">
        <f t="shared" si="33"/>
        <v>0</v>
      </c>
      <c r="BP15" s="1083">
        <f>[1]Субсидия_факт!NC17</f>
        <v>0</v>
      </c>
      <c r="BQ15" s="1087">
        <f t="shared" si="34"/>
        <v>0</v>
      </c>
      <c r="BR15" s="1317">
        <f t="shared" si="35"/>
        <v>0</v>
      </c>
      <c r="BS15" s="1317"/>
      <c r="BT15" s="1318">
        <f>[1]Субсидия_факт!NE17</f>
        <v>0</v>
      </c>
      <c r="BU15" s="1319">
        <f t="shared" si="36"/>
        <v>0</v>
      </c>
      <c r="BV15" s="1083">
        <f>[1]Субсидия_факт!NK17</f>
        <v>0</v>
      </c>
      <c r="BW15" s="1084"/>
      <c r="BX15" s="1317">
        <f t="shared" si="37"/>
        <v>0</v>
      </c>
      <c r="BY15" s="1317">
        <f t="shared" si="38"/>
        <v>0</v>
      </c>
      <c r="BZ15" s="1318">
        <f>[1]Субсидия_факт!NM17</f>
        <v>0</v>
      </c>
      <c r="CA15" s="1320"/>
      <c r="CB15" s="1083">
        <f>[1]Субсидия_факт!NQ17</f>
        <v>0</v>
      </c>
      <c r="CC15" s="1084"/>
      <c r="CD15" s="1317">
        <f t="shared" si="39"/>
        <v>0</v>
      </c>
      <c r="CE15" s="1317">
        <f t="shared" si="40"/>
        <v>0</v>
      </c>
      <c r="CF15" s="1318">
        <f>[1]Субсидия_факт!NS17</f>
        <v>0</v>
      </c>
      <c r="CG15" s="1320"/>
      <c r="CH15" s="1083">
        <f>[1]Субсидия_факт!NW17</f>
        <v>1920000</v>
      </c>
      <c r="CI15" s="1087">
        <f>CH15</f>
        <v>1920000</v>
      </c>
      <c r="CJ15" s="1317">
        <f t="shared" si="41"/>
        <v>0</v>
      </c>
      <c r="CK15" s="1317">
        <f t="shared" si="42"/>
        <v>0</v>
      </c>
      <c r="CL15" s="1318">
        <f>[1]Субсидия_факт!NY17</f>
        <v>1920000</v>
      </c>
      <c r="CM15" s="1319">
        <f t="shared" si="43"/>
        <v>1920000</v>
      </c>
      <c r="CN15" s="1083">
        <f>[1]Субсидия_факт!OC17</f>
        <v>544803.48</v>
      </c>
      <c r="CO15" s="1087">
        <f t="shared" si="44"/>
        <v>544803.48</v>
      </c>
      <c r="CP15" s="1317">
        <f t="shared" si="45"/>
        <v>463571.98</v>
      </c>
      <c r="CQ15" s="1317">
        <f t="shared" si="46"/>
        <v>463571.98</v>
      </c>
      <c r="CR15" s="1318">
        <f>[1]Субсидия_факт!OE17</f>
        <v>81231.5</v>
      </c>
      <c r="CS15" s="1319">
        <f t="shared" si="47"/>
        <v>81231.5</v>
      </c>
      <c r="CT15" s="1083">
        <f>[1]Субсидия_факт!PM17</f>
        <v>21652148</v>
      </c>
      <c r="CU15" s="1084">
        <v>12843380</v>
      </c>
      <c r="CV15" s="1317">
        <f t="shared" si="48"/>
        <v>17252148</v>
      </c>
      <c r="CW15" s="1317">
        <f t="shared" si="49"/>
        <v>8443380</v>
      </c>
      <c r="CX15" s="1318">
        <f>[1]Субсидия_факт!PO17</f>
        <v>4400000</v>
      </c>
      <c r="CY15" s="1319">
        <f>CX15</f>
        <v>4400000</v>
      </c>
      <c r="CZ15" s="1083">
        <f>[1]Субсидия_факт!PS17</f>
        <v>2178868.2799999998</v>
      </c>
      <c r="DA15" s="1087">
        <f>CZ15</f>
        <v>2178868.2799999998</v>
      </c>
      <c r="DB15" s="1317">
        <f t="shared" si="50"/>
        <v>1113319.2199999997</v>
      </c>
      <c r="DC15" s="1317">
        <f t="shared" si="51"/>
        <v>1113319.2199999997</v>
      </c>
      <c r="DD15" s="1318">
        <f>[1]Субсидия_факт!PU17</f>
        <v>1065549.06</v>
      </c>
      <c r="DE15" s="1319">
        <f t="shared" si="5"/>
        <v>1065549.06</v>
      </c>
    </row>
    <row r="16" spans="1:109" s="1321" customFormat="1" ht="21" customHeight="1" x14ac:dyDescent="0.3">
      <c r="A16" s="1335" t="s">
        <v>96</v>
      </c>
      <c r="B16" s="1315">
        <f t="shared" si="6"/>
        <v>44765774.140000008</v>
      </c>
      <c r="C16" s="1315">
        <f t="shared" si="7"/>
        <v>27702341.359999999</v>
      </c>
      <c r="D16" s="1316">
        <f t="shared" si="8"/>
        <v>44765774.140000008</v>
      </c>
      <c r="E16" s="1316">
        <f t="shared" si="9"/>
        <v>27702341.359999999</v>
      </c>
      <c r="F16" s="1316">
        <f t="shared" si="10"/>
        <v>0</v>
      </c>
      <c r="G16" s="1316">
        <f t="shared" si="11"/>
        <v>0</v>
      </c>
      <c r="H16" s="1083">
        <f>[1]Субсидия_факт!CK18</f>
        <v>0</v>
      </c>
      <c r="I16" s="1087">
        <f t="shared" si="1"/>
        <v>0</v>
      </c>
      <c r="J16" s="1317">
        <f t="shared" si="12"/>
        <v>0</v>
      </c>
      <c r="K16" s="1317">
        <f t="shared" si="13"/>
        <v>0</v>
      </c>
      <c r="L16" s="1318">
        <f>[1]Субсидия_факт!CM18</f>
        <v>0</v>
      </c>
      <c r="M16" s="1319">
        <f t="shared" si="14"/>
        <v>0</v>
      </c>
      <c r="N16" s="1083">
        <f>[1]Субсидия_факт!FG18</f>
        <v>4345200</v>
      </c>
      <c r="O16" s="1084">
        <v>4138200</v>
      </c>
      <c r="P16" s="1317">
        <f t="shared" si="16"/>
        <v>4345200</v>
      </c>
      <c r="Q16" s="1317">
        <f t="shared" si="17"/>
        <v>4138200</v>
      </c>
      <c r="R16" s="1318">
        <f>[1]Субсидия_факт!FI18</f>
        <v>0</v>
      </c>
      <c r="S16" s="1320"/>
      <c r="T16" s="1083">
        <f>[1]Субсидия_факт!FS18</f>
        <v>9719460</v>
      </c>
      <c r="U16" s="1383">
        <f>12703404-'Прочая  субсидия_МР  и  ГО'!AA16-'Проверочная  таблица'!AS20-'Проверочная  таблица'!BE20</f>
        <v>0</v>
      </c>
      <c r="V16" s="1317">
        <f t="shared" si="18"/>
        <v>9719460</v>
      </c>
      <c r="W16" s="1317">
        <f t="shared" si="19"/>
        <v>0</v>
      </c>
      <c r="X16" s="1318">
        <f>[1]Субсидия_факт!FU18</f>
        <v>0</v>
      </c>
      <c r="Y16" s="1320"/>
      <c r="Z16" s="1083">
        <f>[1]Субсидия_факт!GQ18</f>
        <v>0</v>
      </c>
      <c r="AA16" s="1084"/>
      <c r="AB16" s="1317">
        <f t="shared" si="20"/>
        <v>0</v>
      </c>
      <c r="AC16" s="1317">
        <f t="shared" si="21"/>
        <v>0</v>
      </c>
      <c r="AD16" s="1318">
        <f>[1]Субсидия_факт!GS18</f>
        <v>0</v>
      </c>
      <c r="AE16" s="1320"/>
      <c r="AF16" s="1083">
        <f>[1]Субсидия_факт!GY18</f>
        <v>219680</v>
      </c>
      <c r="AG16" s="1087">
        <f t="shared" si="2"/>
        <v>219680</v>
      </c>
      <c r="AH16" s="1317">
        <f t="shared" si="22"/>
        <v>219680</v>
      </c>
      <c r="AI16" s="1317">
        <f t="shared" si="23"/>
        <v>219680</v>
      </c>
      <c r="AJ16" s="1318">
        <f>[1]Субсидия_факт!HA18</f>
        <v>0</v>
      </c>
      <c r="AK16" s="1320"/>
      <c r="AL16" s="1083">
        <f>[1]Субсидия_факт!HK18</f>
        <v>0</v>
      </c>
      <c r="AM16" s="1084"/>
      <c r="AN16" s="1317">
        <f t="shared" si="24"/>
        <v>0</v>
      </c>
      <c r="AO16" s="1317">
        <f t="shared" si="25"/>
        <v>0</v>
      </c>
      <c r="AP16" s="1318">
        <f>[1]Субсидия_факт!HM18</f>
        <v>0</v>
      </c>
      <c r="AQ16" s="1320"/>
      <c r="AR16" s="1083">
        <f>[1]Субсидия_факт!II18</f>
        <v>7136972.7800000003</v>
      </c>
      <c r="AS16" s="1383">
        <f>0-'Прочая  субсидия_МР  и  ГО'!AI16</f>
        <v>0</v>
      </c>
      <c r="AT16" s="1317">
        <f t="shared" si="26"/>
        <v>7136972.7800000003</v>
      </c>
      <c r="AU16" s="1317">
        <f t="shared" si="27"/>
        <v>0</v>
      </c>
      <c r="AV16" s="1318">
        <f>[1]Субсидия_факт!IK18</f>
        <v>0</v>
      </c>
      <c r="AW16" s="1320"/>
      <c r="AX16" s="1083">
        <f>[1]Субсидия_факт!IO18</f>
        <v>0</v>
      </c>
      <c r="AY16" s="1084"/>
      <c r="AZ16" s="1317">
        <f t="shared" si="28"/>
        <v>0</v>
      </c>
      <c r="BA16" s="1317">
        <f t="shared" si="29"/>
        <v>0</v>
      </c>
      <c r="BB16" s="1318">
        <f>[1]Субсидия_факт!IQ18</f>
        <v>0</v>
      </c>
      <c r="BC16" s="1320"/>
      <c r="BD16" s="1083">
        <f>[1]Субсидия_факт!MA18</f>
        <v>0</v>
      </c>
      <c r="BE16" s="1084"/>
      <c r="BF16" s="1317">
        <f t="shared" si="30"/>
        <v>0</v>
      </c>
      <c r="BG16" s="1317"/>
      <c r="BH16" s="1318">
        <f>[1]Субсидия_факт!MC18</f>
        <v>0</v>
      </c>
      <c r="BI16" s="1320"/>
      <c r="BJ16" s="1083">
        <f>[1]Субсидия_факт!MS18</f>
        <v>0</v>
      </c>
      <c r="BK16" s="1087">
        <f t="shared" si="3"/>
        <v>0</v>
      </c>
      <c r="BL16" s="1317">
        <f t="shared" si="31"/>
        <v>0</v>
      </c>
      <c r="BM16" s="1317">
        <f t="shared" si="32"/>
        <v>0</v>
      </c>
      <c r="BN16" s="1318">
        <f>[1]Субсидия_факт!MU18</f>
        <v>0</v>
      </c>
      <c r="BO16" s="1319">
        <f t="shared" si="33"/>
        <v>0</v>
      </c>
      <c r="BP16" s="1083">
        <f>[1]Субсидия_факт!NC18</f>
        <v>0</v>
      </c>
      <c r="BQ16" s="1087">
        <f t="shared" si="34"/>
        <v>0</v>
      </c>
      <c r="BR16" s="1317">
        <f t="shared" si="35"/>
        <v>0</v>
      </c>
      <c r="BS16" s="1317"/>
      <c r="BT16" s="1318">
        <f>[1]Субсидия_факт!NE18</f>
        <v>0</v>
      </c>
      <c r="BU16" s="1319">
        <f t="shared" si="36"/>
        <v>0</v>
      </c>
      <c r="BV16" s="1083">
        <f>[1]Субсидия_факт!NK18</f>
        <v>0</v>
      </c>
      <c r="BW16" s="1084"/>
      <c r="BX16" s="1317">
        <f t="shared" si="37"/>
        <v>0</v>
      </c>
      <c r="BY16" s="1317">
        <f t="shared" si="38"/>
        <v>0</v>
      </c>
      <c r="BZ16" s="1318">
        <f>[1]Субсидия_факт!NM18</f>
        <v>0</v>
      </c>
      <c r="CA16" s="1320"/>
      <c r="CB16" s="1083">
        <f>[1]Субсидия_факт!NQ18</f>
        <v>2494479</v>
      </c>
      <c r="CC16" s="1087">
        <f>CB16</f>
        <v>2494479</v>
      </c>
      <c r="CD16" s="1317">
        <f t="shared" si="39"/>
        <v>2494479</v>
      </c>
      <c r="CE16" s="1317">
        <f t="shared" si="40"/>
        <v>2494479</v>
      </c>
      <c r="CF16" s="1318">
        <f>[1]Субсидия_факт!NS18</f>
        <v>0</v>
      </c>
      <c r="CG16" s="1320"/>
      <c r="CH16" s="1083">
        <f>[1]Субсидия_факт!NW18</f>
        <v>0</v>
      </c>
      <c r="CI16" s="1084"/>
      <c r="CJ16" s="1317">
        <f t="shared" si="41"/>
        <v>0</v>
      </c>
      <c r="CK16" s="1317">
        <f t="shared" si="42"/>
        <v>0</v>
      </c>
      <c r="CL16" s="1318">
        <f>[1]Субсидия_факт!NY18</f>
        <v>0</v>
      </c>
      <c r="CM16" s="1319">
        <f t="shared" si="43"/>
        <v>0</v>
      </c>
      <c r="CN16" s="1083">
        <f>[1]Субсидия_факт!OC18</f>
        <v>538531.48</v>
      </c>
      <c r="CO16" s="1087">
        <f t="shared" si="44"/>
        <v>538531.48</v>
      </c>
      <c r="CP16" s="1317">
        <f t="shared" si="45"/>
        <v>538531.48</v>
      </c>
      <c r="CQ16" s="1317">
        <f t="shared" si="46"/>
        <v>538531.48</v>
      </c>
      <c r="CR16" s="1318">
        <f>[1]Субсидия_факт!OE18</f>
        <v>0</v>
      </c>
      <c r="CS16" s="1319">
        <f t="shared" si="47"/>
        <v>0</v>
      </c>
      <c r="CT16" s="1083">
        <f>[1]Субсидия_факт!PM18</f>
        <v>18978280</v>
      </c>
      <c r="CU16" s="1084">
        <v>18978280</v>
      </c>
      <c r="CV16" s="1317">
        <f t="shared" si="48"/>
        <v>18978280</v>
      </c>
      <c r="CW16" s="1317">
        <f t="shared" si="49"/>
        <v>18978280</v>
      </c>
      <c r="CX16" s="1318">
        <f>[1]Субсидия_факт!PO18</f>
        <v>0</v>
      </c>
      <c r="CY16" s="1320"/>
      <c r="CZ16" s="1083">
        <f>[1]Субсидия_факт!PS18</f>
        <v>1333170.8799999999</v>
      </c>
      <c r="DA16" s="1087">
        <f t="shared" ref="DA16:DA25" si="53">CZ16</f>
        <v>1333170.8799999999</v>
      </c>
      <c r="DB16" s="1317">
        <f t="shared" si="50"/>
        <v>1333170.8799999999</v>
      </c>
      <c r="DC16" s="1317">
        <f t="shared" si="51"/>
        <v>1333170.8799999999</v>
      </c>
      <c r="DD16" s="1318">
        <f>[1]Субсидия_факт!PU18</f>
        <v>0</v>
      </c>
      <c r="DE16" s="1319">
        <f t="shared" si="5"/>
        <v>0</v>
      </c>
    </row>
    <row r="17" spans="1:109" s="1321" customFormat="1" ht="21" customHeight="1" x14ac:dyDescent="0.3">
      <c r="A17" s="1335" t="s">
        <v>97</v>
      </c>
      <c r="B17" s="1315">
        <f t="shared" si="6"/>
        <v>29268002.609999999</v>
      </c>
      <c r="C17" s="1315">
        <f t="shared" si="7"/>
        <v>22087396.609999999</v>
      </c>
      <c r="D17" s="1316">
        <f t="shared" si="8"/>
        <v>29268002.609999999</v>
      </c>
      <c r="E17" s="1316">
        <f t="shared" si="9"/>
        <v>22087396.609999999</v>
      </c>
      <c r="F17" s="1316">
        <f t="shared" si="10"/>
        <v>0</v>
      </c>
      <c r="G17" s="1316">
        <f t="shared" si="11"/>
        <v>0</v>
      </c>
      <c r="H17" s="1083">
        <f>[1]Субсидия_факт!CK19</f>
        <v>4824</v>
      </c>
      <c r="I17" s="1087">
        <f t="shared" si="1"/>
        <v>4824</v>
      </c>
      <c r="J17" s="1317">
        <f t="shared" si="12"/>
        <v>4824</v>
      </c>
      <c r="K17" s="1317">
        <f t="shared" si="13"/>
        <v>4824</v>
      </c>
      <c r="L17" s="1318">
        <f>[1]Субсидия_факт!CM19</f>
        <v>0</v>
      </c>
      <c r="M17" s="1319">
        <f t="shared" si="14"/>
        <v>0</v>
      </c>
      <c r="N17" s="1083">
        <f>[1]Субсидия_факт!FG19</f>
        <v>2295000</v>
      </c>
      <c r="O17" s="1087">
        <f>N17</f>
        <v>2295000</v>
      </c>
      <c r="P17" s="1317">
        <f t="shared" si="16"/>
        <v>2295000</v>
      </c>
      <c r="Q17" s="1317">
        <f t="shared" si="17"/>
        <v>2295000</v>
      </c>
      <c r="R17" s="1318">
        <f>[1]Субсидия_факт!FI19</f>
        <v>0</v>
      </c>
      <c r="S17" s="1320"/>
      <c r="T17" s="1083">
        <f>[1]Субсидия_факт!FS19</f>
        <v>0</v>
      </c>
      <c r="U17" s="1383">
        <f>59997630-'Прочая  субсидия_МР  и  ГО'!AA17-'Проверочная  таблица'!AS21-'Проверочная  таблица'!BE21</f>
        <v>0</v>
      </c>
      <c r="V17" s="1317">
        <f t="shared" si="18"/>
        <v>0</v>
      </c>
      <c r="W17" s="1317">
        <f t="shared" si="19"/>
        <v>0</v>
      </c>
      <c r="X17" s="1318">
        <f>[1]Субсидия_факт!FU19</f>
        <v>0</v>
      </c>
      <c r="Y17" s="1320"/>
      <c r="Z17" s="1083">
        <f>[1]Субсидия_факт!GQ19</f>
        <v>0</v>
      </c>
      <c r="AA17" s="1084"/>
      <c r="AB17" s="1317">
        <f t="shared" si="20"/>
        <v>0</v>
      </c>
      <c r="AC17" s="1317">
        <f t="shared" si="21"/>
        <v>0</v>
      </c>
      <c r="AD17" s="1318">
        <f>[1]Субсидия_факт!GS19</f>
        <v>0</v>
      </c>
      <c r="AE17" s="1320"/>
      <c r="AF17" s="1083">
        <f>[1]Субсидия_факт!GY19</f>
        <v>0</v>
      </c>
      <c r="AG17" s="1087">
        <f t="shared" si="2"/>
        <v>0</v>
      </c>
      <c r="AH17" s="1317">
        <f t="shared" si="22"/>
        <v>0</v>
      </c>
      <c r="AI17" s="1317">
        <f t="shared" si="23"/>
        <v>0</v>
      </c>
      <c r="AJ17" s="1318">
        <f>[1]Субсидия_факт!HA19</f>
        <v>0</v>
      </c>
      <c r="AK17" s="1320"/>
      <c r="AL17" s="1083">
        <f>[1]Субсидия_факт!HK19</f>
        <v>0</v>
      </c>
      <c r="AM17" s="1084"/>
      <c r="AN17" s="1317">
        <f t="shared" si="24"/>
        <v>0</v>
      </c>
      <c r="AO17" s="1317">
        <f t="shared" si="25"/>
        <v>0</v>
      </c>
      <c r="AP17" s="1318">
        <f>[1]Субсидия_факт!HM19</f>
        <v>0</v>
      </c>
      <c r="AQ17" s="1320"/>
      <c r="AR17" s="1083">
        <f>[1]Субсидия_факт!II19</f>
        <v>1663751</v>
      </c>
      <c r="AS17" s="1383">
        <f>756416-'Прочая  субсидия_МР  и  ГО'!AI17</f>
        <v>756416</v>
      </c>
      <c r="AT17" s="1317">
        <f t="shared" si="26"/>
        <v>1663751</v>
      </c>
      <c r="AU17" s="1317">
        <f t="shared" si="27"/>
        <v>756416</v>
      </c>
      <c r="AV17" s="1318">
        <f>[1]Субсидия_факт!IK19</f>
        <v>0</v>
      </c>
      <c r="AW17" s="1320"/>
      <c r="AX17" s="1083">
        <f>[1]Субсидия_факт!IO19</f>
        <v>0</v>
      </c>
      <c r="AY17" s="1084"/>
      <c r="AZ17" s="1317">
        <f t="shared" si="28"/>
        <v>0</v>
      </c>
      <c r="BA17" s="1317">
        <f t="shared" si="29"/>
        <v>0</v>
      </c>
      <c r="BB17" s="1318">
        <f>[1]Субсидия_факт!IQ19</f>
        <v>0</v>
      </c>
      <c r="BC17" s="1320"/>
      <c r="BD17" s="1083">
        <f>[1]Субсидия_факт!MA19</f>
        <v>0</v>
      </c>
      <c r="BE17" s="1084"/>
      <c r="BF17" s="1317">
        <f t="shared" si="30"/>
        <v>0</v>
      </c>
      <c r="BG17" s="1317"/>
      <c r="BH17" s="1318">
        <f>[1]Субсидия_факт!MC19</f>
        <v>0</v>
      </c>
      <c r="BI17" s="1320"/>
      <c r="BJ17" s="1083">
        <f>[1]Субсидия_факт!MS19</f>
        <v>0</v>
      </c>
      <c r="BK17" s="1087">
        <f t="shared" si="3"/>
        <v>0</v>
      </c>
      <c r="BL17" s="1317">
        <f t="shared" si="31"/>
        <v>0</v>
      </c>
      <c r="BM17" s="1317">
        <f t="shared" si="32"/>
        <v>0</v>
      </c>
      <c r="BN17" s="1318">
        <f>[1]Субсидия_факт!MU19</f>
        <v>0</v>
      </c>
      <c r="BO17" s="1319">
        <f t="shared" si="33"/>
        <v>0</v>
      </c>
      <c r="BP17" s="1083">
        <f>[1]Субсидия_факт!NC19</f>
        <v>0</v>
      </c>
      <c r="BQ17" s="1087">
        <f t="shared" si="34"/>
        <v>0</v>
      </c>
      <c r="BR17" s="1317">
        <f t="shared" si="35"/>
        <v>0</v>
      </c>
      <c r="BS17" s="1317"/>
      <c r="BT17" s="1318">
        <f>[1]Субсидия_факт!NE19</f>
        <v>0</v>
      </c>
      <c r="BU17" s="1319">
        <f t="shared" si="36"/>
        <v>0</v>
      </c>
      <c r="BV17" s="1083">
        <f>[1]Субсидия_факт!NK19</f>
        <v>0</v>
      </c>
      <c r="BW17" s="1084"/>
      <c r="BX17" s="1317">
        <f t="shared" si="37"/>
        <v>0</v>
      </c>
      <c r="BY17" s="1317">
        <f t="shared" si="38"/>
        <v>0</v>
      </c>
      <c r="BZ17" s="1318">
        <f>[1]Субсидия_факт!NM19</f>
        <v>0</v>
      </c>
      <c r="CA17" s="1320"/>
      <c r="CB17" s="1083">
        <f>[1]Субсидия_факт!NQ19</f>
        <v>0</v>
      </c>
      <c r="CC17" s="1084"/>
      <c r="CD17" s="1317">
        <f t="shared" si="39"/>
        <v>0</v>
      </c>
      <c r="CE17" s="1317">
        <f t="shared" si="40"/>
        <v>0</v>
      </c>
      <c r="CF17" s="1318">
        <f>[1]Субсидия_факт!NS19</f>
        <v>0</v>
      </c>
      <c r="CG17" s="1320"/>
      <c r="CH17" s="1083">
        <f>[1]Субсидия_факт!NW19</f>
        <v>0</v>
      </c>
      <c r="CI17" s="1084"/>
      <c r="CJ17" s="1317">
        <f t="shared" si="41"/>
        <v>0</v>
      </c>
      <c r="CK17" s="1317">
        <f t="shared" si="42"/>
        <v>0</v>
      </c>
      <c r="CL17" s="1318">
        <f>[1]Субсидия_факт!NY19</f>
        <v>0</v>
      </c>
      <c r="CM17" s="1319">
        <f t="shared" si="43"/>
        <v>0</v>
      </c>
      <c r="CN17" s="1083">
        <f>[1]Субсидия_факт!OC19</f>
        <v>435300.61000000004</v>
      </c>
      <c r="CO17" s="1087">
        <f t="shared" si="44"/>
        <v>435300.61000000004</v>
      </c>
      <c r="CP17" s="1317">
        <f t="shared" si="45"/>
        <v>435300.61000000004</v>
      </c>
      <c r="CQ17" s="1317">
        <f t="shared" si="46"/>
        <v>435300.61000000004</v>
      </c>
      <c r="CR17" s="1318">
        <f>[1]Субсидия_факт!OE19</f>
        <v>0</v>
      </c>
      <c r="CS17" s="1319">
        <f t="shared" si="47"/>
        <v>0</v>
      </c>
      <c r="CT17" s="1083">
        <f>[1]Субсидия_факт!PM19</f>
        <v>24869127</v>
      </c>
      <c r="CU17" s="1084">
        <v>18595856</v>
      </c>
      <c r="CV17" s="1317">
        <f t="shared" si="48"/>
        <v>24869127</v>
      </c>
      <c r="CW17" s="1317">
        <f t="shared" si="49"/>
        <v>18595856</v>
      </c>
      <c r="CX17" s="1318">
        <f>[1]Субсидия_факт!PO19</f>
        <v>0</v>
      </c>
      <c r="CY17" s="1320"/>
      <c r="CZ17" s="1083">
        <f>[1]Субсидия_факт!PS19</f>
        <v>0</v>
      </c>
      <c r="DA17" s="1087">
        <f t="shared" si="53"/>
        <v>0</v>
      </c>
      <c r="DB17" s="1317">
        <f t="shared" si="50"/>
        <v>0</v>
      </c>
      <c r="DC17" s="1317">
        <f t="shared" si="51"/>
        <v>0</v>
      </c>
      <c r="DD17" s="1318">
        <f>[1]Субсидия_факт!PU19</f>
        <v>0</v>
      </c>
      <c r="DE17" s="1319">
        <f t="shared" si="5"/>
        <v>0</v>
      </c>
    </row>
    <row r="18" spans="1:109" s="1321" customFormat="1" ht="21" customHeight="1" x14ac:dyDescent="0.3">
      <c r="A18" s="1335" t="s">
        <v>98</v>
      </c>
      <c r="B18" s="1315">
        <f t="shared" si="6"/>
        <v>96343346.370000005</v>
      </c>
      <c r="C18" s="1315">
        <f t="shared" si="7"/>
        <v>69702548.349999994</v>
      </c>
      <c r="D18" s="1316">
        <f t="shared" si="8"/>
        <v>29059448.390000001</v>
      </c>
      <c r="E18" s="1316">
        <f t="shared" si="9"/>
        <v>20622353.09</v>
      </c>
      <c r="F18" s="1316">
        <f t="shared" si="10"/>
        <v>67283897.980000004</v>
      </c>
      <c r="G18" s="1316">
        <f t="shared" si="11"/>
        <v>57041848.980000004</v>
      </c>
      <c r="H18" s="1083">
        <f>[1]Субсидия_факт!CK20</f>
        <v>4341.55</v>
      </c>
      <c r="I18" s="1087">
        <f t="shared" si="1"/>
        <v>4341.55</v>
      </c>
      <c r="J18" s="1317">
        <f t="shared" si="12"/>
        <v>0</v>
      </c>
      <c r="K18" s="1317">
        <f t="shared" si="13"/>
        <v>0</v>
      </c>
      <c r="L18" s="1318">
        <f>[1]Субсидия_факт!CM20</f>
        <v>4341.55</v>
      </c>
      <c r="M18" s="1319">
        <f t="shared" si="14"/>
        <v>4341.55</v>
      </c>
      <c r="N18" s="1083">
        <f>[1]Субсидия_факт!FG20</f>
        <v>2529650</v>
      </c>
      <c r="O18" s="1084">
        <v>2014650</v>
      </c>
      <c r="P18" s="1317">
        <f t="shared" si="16"/>
        <v>2529650</v>
      </c>
      <c r="Q18" s="1317">
        <f t="shared" si="17"/>
        <v>2014650</v>
      </c>
      <c r="R18" s="1318">
        <f>[1]Субсидия_факт!FI20</f>
        <v>0</v>
      </c>
      <c r="S18" s="1320"/>
      <c r="T18" s="1083">
        <f>[1]Субсидия_факт!FS20</f>
        <v>5994782</v>
      </c>
      <c r="U18" s="1383">
        <f>54722802-'Прочая  субсидия_МР  и  ГО'!AA18-'Проверочная  таблица'!AS22-'Проверочная  таблица'!BE22</f>
        <v>5399546</v>
      </c>
      <c r="V18" s="1317">
        <f t="shared" si="18"/>
        <v>5994782</v>
      </c>
      <c r="W18" s="1317">
        <f t="shared" si="19"/>
        <v>5399546</v>
      </c>
      <c r="X18" s="1318">
        <f>[1]Субсидия_факт!FU20</f>
        <v>0</v>
      </c>
      <c r="Y18" s="1320"/>
      <c r="Z18" s="1083">
        <f>[1]Субсидия_факт!GQ20</f>
        <v>0</v>
      </c>
      <c r="AA18" s="1084"/>
      <c r="AB18" s="1317">
        <f t="shared" si="20"/>
        <v>0</v>
      </c>
      <c r="AC18" s="1317">
        <f t="shared" si="21"/>
        <v>0</v>
      </c>
      <c r="AD18" s="1318">
        <f>[1]Субсидия_факт!GS20</f>
        <v>0</v>
      </c>
      <c r="AE18" s="1320"/>
      <c r="AF18" s="1083">
        <f>[1]Субсидия_факт!GY20</f>
        <v>0</v>
      </c>
      <c r="AG18" s="1087">
        <f t="shared" si="2"/>
        <v>0</v>
      </c>
      <c r="AH18" s="1317">
        <f t="shared" si="22"/>
        <v>0</v>
      </c>
      <c r="AI18" s="1317">
        <f t="shared" si="23"/>
        <v>0</v>
      </c>
      <c r="AJ18" s="1318">
        <f>[1]Субсидия_факт!HA20</f>
        <v>0</v>
      </c>
      <c r="AK18" s="1320"/>
      <c r="AL18" s="1083">
        <f>[1]Субсидия_факт!HK20</f>
        <v>0</v>
      </c>
      <c r="AM18" s="1084"/>
      <c r="AN18" s="1317">
        <f t="shared" si="24"/>
        <v>0</v>
      </c>
      <c r="AO18" s="1317">
        <f t="shared" si="25"/>
        <v>0</v>
      </c>
      <c r="AP18" s="1318">
        <f>[1]Субсидия_факт!HM20</f>
        <v>0</v>
      </c>
      <c r="AQ18" s="1320"/>
      <c r="AR18" s="1083">
        <f>[1]Субсидия_факт!II20</f>
        <v>11648642.890000001</v>
      </c>
      <c r="AS18" s="1383">
        <f>4815525.89-'Прочая  субсидия_МР  и  ГО'!AI18</f>
        <v>4815525.8899999997</v>
      </c>
      <c r="AT18" s="1317">
        <f t="shared" si="26"/>
        <v>3498005</v>
      </c>
      <c r="AU18" s="1317">
        <f t="shared" si="27"/>
        <v>1164887.9999999995</v>
      </c>
      <c r="AV18" s="1318">
        <f>[1]Субсидия_факт!IK20</f>
        <v>8150637.8900000006</v>
      </c>
      <c r="AW18" s="1320">
        <v>3650637.89</v>
      </c>
      <c r="AX18" s="1083">
        <f>[1]Субсидия_факт!IO20</f>
        <v>0</v>
      </c>
      <c r="AY18" s="1084"/>
      <c r="AZ18" s="1317">
        <f t="shared" si="28"/>
        <v>0</v>
      </c>
      <c r="BA18" s="1317">
        <f t="shared" si="29"/>
        <v>0</v>
      </c>
      <c r="BB18" s="1318">
        <f>[1]Субсидия_факт!IQ20</f>
        <v>0</v>
      </c>
      <c r="BC18" s="1320"/>
      <c r="BD18" s="1083">
        <f>[1]Субсидия_факт!MA20</f>
        <v>35596207</v>
      </c>
      <c r="BE18" s="1084">
        <v>27634553.280000001</v>
      </c>
      <c r="BF18" s="1317">
        <f t="shared" si="30"/>
        <v>0</v>
      </c>
      <c r="BG18" s="1317"/>
      <c r="BH18" s="1318">
        <f>[1]Субсидия_факт!MC20</f>
        <v>35596207</v>
      </c>
      <c r="BI18" s="1473">
        <f>BH18</f>
        <v>35596207</v>
      </c>
      <c r="BJ18" s="1083">
        <f>[1]Субсидия_факт!MS20</f>
        <v>536760</v>
      </c>
      <c r="BK18" s="1087">
        <f t="shared" si="3"/>
        <v>536760</v>
      </c>
      <c r="BL18" s="1317">
        <f t="shared" si="31"/>
        <v>0</v>
      </c>
      <c r="BM18" s="1317">
        <f t="shared" si="32"/>
        <v>0</v>
      </c>
      <c r="BN18" s="1318">
        <f>[1]Субсидия_факт!MU20</f>
        <v>536760</v>
      </c>
      <c r="BO18" s="1319">
        <f t="shared" si="33"/>
        <v>536760</v>
      </c>
      <c r="BP18" s="1083">
        <f>[1]Субсидия_факт!NC20</f>
        <v>6840000</v>
      </c>
      <c r="BQ18" s="1087">
        <f t="shared" si="34"/>
        <v>6840000</v>
      </c>
      <c r="BR18" s="1317">
        <f t="shared" si="35"/>
        <v>0</v>
      </c>
      <c r="BS18" s="1317"/>
      <c r="BT18" s="1318">
        <f>[1]Субсидия_факт!NE20</f>
        <v>6840000</v>
      </c>
      <c r="BU18" s="1319">
        <f t="shared" si="36"/>
        <v>6840000</v>
      </c>
      <c r="BV18" s="1083">
        <f>[1]Субсидия_факт!NK20</f>
        <v>638574.30000000005</v>
      </c>
      <c r="BW18" s="1084"/>
      <c r="BX18" s="1317">
        <f t="shared" si="37"/>
        <v>638574.30000000005</v>
      </c>
      <c r="BY18" s="1317">
        <f t="shared" si="38"/>
        <v>0</v>
      </c>
      <c r="BZ18" s="1318">
        <f>[1]Субсидия_факт!NM20</f>
        <v>0</v>
      </c>
      <c r="CA18" s="1320"/>
      <c r="CB18" s="1083">
        <f>[1]Субсидия_факт!NQ20</f>
        <v>0</v>
      </c>
      <c r="CC18" s="1084"/>
      <c r="CD18" s="1317">
        <f t="shared" si="39"/>
        <v>0</v>
      </c>
      <c r="CE18" s="1317">
        <f t="shared" si="40"/>
        <v>0</v>
      </c>
      <c r="CF18" s="1318">
        <f>[1]Субсидия_факт!NS20</f>
        <v>0</v>
      </c>
      <c r="CG18" s="1320"/>
      <c r="CH18" s="1083">
        <f>[1]Субсидия_факт!NW20</f>
        <v>4000000</v>
      </c>
      <c r="CI18" s="1084">
        <v>3780000</v>
      </c>
      <c r="CJ18" s="1317">
        <f t="shared" si="41"/>
        <v>0</v>
      </c>
      <c r="CK18" s="1317">
        <f t="shared" si="42"/>
        <v>0</v>
      </c>
      <c r="CL18" s="1318">
        <f>[1]Субсидия_факт!NY20</f>
        <v>4000000</v>
      </c>
      <c r="CM18" s="1319">
        <f t="shared" si="43"/>
        <v>3780000</v>
      </c>
      <c r="CN18" s="1083">
        <f>[1]Субсидия_факт!OC20</f>
        <v>661890.66</v>
      </c>
      <c r="CO18" s="1087">
        <f t="shared" si="44"/>
        <v>661890.66</v>
      </c>
      <c r="CP18" s="1317">
        <f t="shared" si="45"/>
        <v>527988.12</v>
      </c>
      <c r="CQ18" s="1317">
        <f t="shared" si="46"/>
        <v>527988.12</v>
      </c>
      <c r="CR18" s="1318">
        <f>[1]Субсидия_факт!OE20</f>
        <v>133902.54</v>
      </c>
      <c r="CS18" s="1319">
        <f t="shared" si="47"/>
        <v>133902.54</v>
      </c>
      <c r="CT18" s="1083">
        <f>[1]Субсидия_факт!PM20</f>
        <v>27057196</v>
      </c>
      <c r="CU18" s="1084">
        <v>17179979</v>
      </c>
      <c r="CV18" s="1317">
        <f t="shared" si="48"/>
        <v>15035147</v>
      </c>
      <c r="CW18" s="1317">
        <f t="shared" si="49"/>
        <v>10679979</v>
      </c>
      <c r="CX18" s="1318">
        <f>[1]Субсидия_факт!PO20</f>
        <v>12022049</v>
      </c>
      <c r="CY18" s="1320">
        <v>6500000</v>
      </c>
      <c r="CZ18" s="1083">
        <f>[1]Субсидия_факт!PS20</f>
        <v>835301.97</v>
      </c>
      <c r="DA18" s="1087">
        <f t="shared" si="53"/>
        <v>835301.97</v>
      </c>
      <c r="DB18" s="1317">
        <f t="shared" si="50"/>
        <v>835301.97</v>
      </c>
      <c r="DC18" s="1317">
        <f t="shared" si="51"/>
        <v>835301.97</v>
      </c>
      <c r="DD18" s="1318">
        <f>[1]Субсидия_факт!PU20</f>
        <v>0</v>
      </c>
      <c r="DE18" s="1319">
        <f t="shared" si="5"/>
        <v>0</v>
      </c>
    </row>
    <row r="19" spans="1:109" s="1321" customFormat="1" ht="21" customHeight="1" x14ac:dyDescent="0.3">
      <c r="A19" s="1335" t="s">
        <v>99</v>
      </c>
      <c r="B19" s="1315">
        <f t="shared" si="6"/>
        <v>12985309.57</v>
      </c>
      <c r="C19" s="1315">
        <f t="shared" si="7"/>
        <v>8308788.5700000003</v>
      </c>
      <c r="D19" s="1316">
        <f t="shared" si="8"/>
        <v>12985309.57</v>
      </c>
      <c r="E19" s="1316">
        <f t="shared" si="9"/>
        <v>8308788.5700000003</v>
      </c>
      <c r="F19" s="1316">
        <f t="shared" si="10"/>
        <v>0</v>
      </c>
      <c r="G19" s="1316">
        <f t="shared" si="11"/>
        <v>0</v>
      </c>
      <c r="H19" s="1083">
        <f>[1]Субсидия_факт!CK21</f>
        <v>0</v>
      </c>
      <c r="I19" s="1087">
        <f t="shared" si="1"/>
        <v>0</v>
      </c>
      <c r="J19" s="1317">
        <f t="shared" si="12"/>
        <v>0</v>
      </c>
      <c r="K19" s="1317">
        <f t="shared" si="13"/>
        <v>0</v>
      </c>
      <c r="L19" s="1318">
        <f>[1]Субсидия_факт!CM21</f>
        <v>0</v>
      </c>
      <c r="M19" s="1319">
        <f t="shared" si="14"/>
        <v>0</v>
      </c>
      <c r="N19" s="1083">
        <f>[1]Субсидия_факт!FG21</f>
        <v>0</v>
      </c>
      <c r="O19" s="1084"/>
      <c r="P19" s="1317">
        <f t="shared" si="16"/>
        <v>0</v>
      </c>
      <c r="Q19" s="1317">
        <f t="shared" si="17"/>
        <v>0</v>
      </c>
      <c r="R19" s="1318">
        <f>[1]Субсидия_факт!FI21</f>
        <v>0</v>
      </c>
      <c r="S19" s="1320"/>
      <c r="T19" s="1083">
        <f>[1]Субсидия_факт!FS21</f>
        <v>0</v>
      </c>
      <c r="U19" s="1383">
        <f>9587718-'Прочая  субсидия_МР  и  ГО'!AA19-'Проверочная  таблица'!AS23-'Проверочная  таблица'!BE23</f>
        <v>0</v>
      </c>
      <c r="V19" s="1317">
        <f t="shared" si="18"/>
        <v>0</v>
      </c>
      <c r="W19" s="1317">
        <f t="shared" si="19"/>
        <v>0</v>
      </c>
      <c r="X19" s="1318">
        <f>[1]Субсидия_факт!FU21</f>
        <v>0</v>
      </c>
      <c r="Y19" s="1320"/>
      <c r="Z19" s="1083">
        <f>[1]Субсидия_факт!GQ21</f>
        <v>0</v>
      </c>
      <c r="AA19" s="1084"/>
      <c r="AB19" s="1317">
        <f t="shared" si="20"/>
        <v>0</v>
      </c>
      <c r="AC19" s="1317">
        <f t="shared" si="21"/>
        <v>0</v>
      </c>
      <c r="AD19" s="1318">
        <f>[1]Субсидия_факт!GS21</f>
        <v>0</v>
      </c>
      <c r="AE19" s="1320"/>
      <c r="AF19" s="1083">
        <f>[1]Субсидия_факт!GY21</f>
        <v>520043.3</v>
      </c>
      <c r="AG19" s="1087">
        <f t="shared" si="2"/>
        <v>520043.3</v>
      </c>
      <c r="AH19" s="1317">
        <f t="shared" si="22"/>
        <v>520043.3</v>
      </c>
      <c r="AI19" s="1317">
        <f t="shared" si="23"/>
        <v>520043.3</v>
      </c>
      <c r="AJ19" s="1318">
        <f>[1]Субсидия_факт!HA21</f>
        <v>0</v>
      </c>
      <c r="AK19" s="1320"/>
      <c r="AL19" s="1083">
        <f>[1]Субсидия_факт!HK21</f>
        <v>0</v>
      </c>
      <c r="AM19" s="1084"/>
      <c r="AN19" s="1317">
        <f t="shared" si="24"/>
        <v>0</v>
      </c>
      <c r="AO19" s="1317">
        <f t="shared" si="25"/>
        <v>0</v>
      </c>
      <c r="AP19" s="1318">
        <f>[1]Субсидия_факт!HM21</f>
        <v>0</v>
      </c>
      <c r="AQ19" s="1320"/>
      <c r="AR19" s="1083">
        <f>[1]Субсидия_факт!II21</f>
        <v>90384</v>
      </c>
      <c r="AS19" s="1383">
        <f>6479469.21-'Прочая  субсидия_МР  и  ГО'!AI19</f>
        <v>90384</v>
      </c>
      <c r="AT19" s="1317">
        <f t="shared" si="26"/>
        <v>90384</v>
      </c>
      <c r="AU19" s="1317">
        <f t="shared" si="27"/>
        <v>90384</v>
      </c>
      <c r="AV19" s="1318">
        <f>[1]Субсидия_факт!IK21</f>
        <v>0</v>
      </c>
      <c r="AW19" s="1320"/>
      <c r="AX19" s="1083">
        <f>[1]Субсидия_факт!IO21</f>
        <v>0</v>
      </c>
      <c r="AY19" s="1084"/>
      <c r="AZ19" s="1317">
        <f t="shared" si="28"/>
        <v>0</v>
      </c>
      <c r="BA19" s="1317">
        <f t="shared" si="29"/>
        <v>0</v>
      </c>
      <c r="BB19" s="1318">
        <f>[1]Субсидия_факт!IQ21</f>
        <v>0</v>
      </c>
      <c r="BC19" s="1320"/>
      <c r="BD19" s="1083">
        <f>[1]Субсидия_факт!MA21</f>
        <v>0</v>
      </c>
      <c r="BE19" s="1084"/>
      <c r="BF19" s="1317">
        <f t="shared" si="30"/>
        <v>0</v>
      </c>
      <c r="BG19" s="1317"/>
      <c r="BH19" s="1318">
        <f>[1]Субсидия_факт!MC21</f>
        <v>0</v>
      </c>
      <c r="BI19" s="1320"/>
      <c r="BJ19" s="1083">
        <f>[1]Субсидия_факт!MS21</f>
        <v>0</v>
      </c>
      <c r="BK19" s="1087">
        <f t="shared" si="3"/>
        <v>0</v>
      </c>
      <c r="BL19" s="1317">
        <f t="shared" si="31"/>
        <v>0</v>
      </c>
      <c r="BM19" s="1317">
        <f t="shared" si="32"/>
        <v>0</v>
      </c>
      <c r="BN19" s="1318">
        <f>[1]Субсидия_факт!MU21</f>
        <v>0</v>
      </c>
      <c r="BO19" s="1319">
        <f t="shared" si="33"/>
        <v>0</v>
      </c>
      <c r="BP19" s="1083">
        <f>[1]Субсидия_факт!NC21</f>
        <v>0</v>
      </c>
      <c r="BQ19" s="1087">
        <f t="shared" si="34"/>
        <v>0</v>
      </c>
      <c r="BR19" s="1317">
        <f t="shared" si="35"/>
        <v>0</v>
      </c>
      <c r="BS19" s="1317"/>
      <c r="BT19" s="1318">
        <f>[1]Субсидия_факт!NE21</f>
        <v>0</v>
      </c>
      <c r="BU19" s="1319">
        <f t="shared" si="36"/>
        <v>0</v>
      </c>
      <c r="BV19" s="1083">
        <f>[1]Субсидия_факт!NK21</f>
        <v>0</v>
      </c>
      <c r="BW19" s="1084"/>
      <c r="BX19" s="1317">
        <f t="shared" si="37"/>
        <v>0</v>
      </c>
      <c r="BY19" s="1317">
        <f t="shared" si="38"/>
        <v>0</v>
      </c>
      <c r="BZ19" s="1318">
        <f>[1]Субсидия_факт!NM21</f>
        <v>0</v>
      </c>
      <c r="CA19" s="1320"/>
      <c r="CB19" s="1083">
        <f>[1]Субсидия_факт!NQ21</f>
        <v>0</v>
      </c>
      <c r="CC19" s="1084"/>
      <c r="CD19" s="1317">
        <f t="shared" si="39"/>
        <v>0</v>
      </c>
      <c r="CE19" s="1317">
        <f t="shared" si="40"/>
        <v>0</v>
      </c>
      <c r="CF19" s="1318">
        <f>[1]Субсидия_факт!NS21</f>
        <v>0</v>
      </c>
      <c r="CG19" s="1320"/>
      <c r="CH19" s="1083">
        <f>[1]Субсидия_факт!NW21</f>
        <v>0</v>
      </c>
      <c r="CI19" s="1084"/>
      <c r="CJ19" s="1317">
        <f t="shared" si="41"/>
        <v>0</v>
      </c>
      <c r="CK19" s="1317">
        <f t="shared" si="42"/>
        <v>0</v>
      </c>
      <c r="CL19" s="1318">
        <f>[1]Субсидия_факт!NY21</f>
        <v>0</v>
      </c>
      <c r="CM19" s="1319">
        <f t="shared" si="43"/>
        <v>0</v>
      </c>
      <c r="CN19" s="1083">
        <f>[1]Субсидия_факт!OC21</f>
        <v>440645.29</v>
      </c>
      <c r="CO19" s="1087">
        <f t="shared" si="44"/>
        <v>440645.29</v>
      </c>
      <c r="CP19" s="1317">
        <f t="shared" si="45"/>
        <v>440645.29</v>
      </c>
      <c r="CQ19" s="1317">
        <f t="shared" si="46"/>
        <v>440645.29</v>
      </c>
      <c r="CR19" s="1318">
        <f>[1]Субсидия_факт!OE21</f>
        <v>0</v>
      </c>
      <c r="CS19" s="1319">
        <f t="shared" si="47"/>
        <v>0</v>
      </c>
      <c r="CT19" s="1083">
        <f>[1]Субсидия_факт!PM21</f>
        <v>11495846</v>
      </c>
      <c r="CU19" s="1084">
        <v>6819325</v>
      </c>
      <c r="CV19" s="1317">
        <f t="shared" si="48"/>
        <v>11495846</v>
      </c>
      <c r="CW19" s="1317">
        <f t="shared" si="49"/>
        <v>6819325</v>
      </c>
      <c r="CX19" s="1318">
        <f>[1]Субсидия_факт!PO21</f>
        <v>0</v>
      </c>
      <c r="CY19" s="1320"/>
      <c r="CZ19" s="1083">
        <f>[1]Субсидия_факт!PS21</f>
        <v>438390.98</v>
      </c>
      <c r="DA19" s="1087">
        <f t="shared" si="53"/>
        <v>438390.98</v>
      </c>
      <c r="DB19" s="1317">
        <f t="shared" si="50"/>
        <v>438390.98</v>
      </c>
      <c r="DC19" s="1317">
        <f t="shared" si="51"/>
        <v>438390.98</v>
      </c>
      <c r="DD19" s="1318">
        <f>[1]Субсидия_факт!PU21</f>
        <v>0</v>
      </c>
      <c r="DE19" s="1319">
        <f t="shared" si="5"/>
        <v>0</v>
      </c>
    </row>
    <row r="20" spans="1:109" s="1321" customFormat="1" ht="21" customHeight="1" x14ac:dyDescent="0.3">
      <c r="A20" s="1335" t="s">
        <v>100</v>
      </c>
      <c r="B20" s="1315">
        <f t="shared" si="6"/>
        <v>122438992.76000001</v>
      </c>
      <c r="C20" s="1315">
        <f t="shared" si="7"/>
        <v>70900805.909999996</v>
      </c>
      <c r="D20" s="1316">
        <f t="shared" si="8"/>
        <v>122438992.76000001</v>
      </c>
      <c r="E20" s="1316">
        <f t="shared" si="9"/>
        <v>70900805.909999996</v>
      </c>
      <c r="F20" s="1316">
        <f t="shared" si="10"/>
        <v>0</v>
      </c>
      <c r="G20" s="1316">
        <f t="shared" si="11"/>
        <v>0</v>
      </c>
      <c r="H20" s="1083">
        <f>[1]Субсидия_факт!CK22</f>
        <v>0</v>
      </c>
      <c r="I20" s="1087">
        <f t="shared" si="1"/>
        <v>0</v>
      </c>
      <c r="J20" s="1317">
        <f t="shared" si="12"/>
        <v>0</v>
      </c>
      <c r="K20" s="1317">
        <f t="shared" si="13"/>
        <v>0</v>
      </c>
      <c r="L20" s="1318">
        <f>[1]Субсидия_факт!CM22</f>
        <v>0</v>
      </c>
      <c r="M20" s="1319">
        <f t="shared" si="14"/>
        <v>0</v>
      </c>
      <c r="N20" s="1083">
        <f>[1]Субсидия_факт!FG22</f>
        <v>825417</v>
      </c>
      <c r="O20" s="1087">
        <f>N20</f>
        <v>825417</v>
      </c>
      <c r="P20" s="1317">
        <f t="shared" si="16"/>
        <v>825417</v>
      </c>
      <c r="Q20" s="1317">
        <f t="shared" si="17"/>
        <v>825417</v>
      </c>
      <c r="R20" s="1318">
        <f>[1]Субсидия_факт!FI22</f>
        <v>0</v>
      </c>
      <c r="S20" s="1320"/>
      <c r="T20" s="1083">
        <f>[1]Субсидия_факт!FS22</f>
        <v>35700000</v>
      </c>
      <c r="U20" s="1383">
        <f>71311168-'Прочая  субсидия_МР  и  ГО'!AA20-'Проверочная  таблица'!AS24-'Проверочная  таблица'!BE24</f>
        <v>35700000</v>
      </c>
      <c r="V20" s="1317">
        <f t="shared" si="18"/>
        <v>35700000</v>
      </c>
      <c r="W20" s="1317">
        <f t="shared" si="19"/>
        <v>35700000</v>
      </c>
      <c r="X20" s="1318">
        <f>[1]Субсидия_факт!FU22</f>
        <v>0</v>
      </c>
      <c r="Y20" s="1320"/>
      <c r="Z20" s="1083">
        <f>[1]Субсидия_факт!GQ22</f>
        <v>0</v>
      </c>
      <c r="AA20" s="1084"/>
      <c r="AB20" s="1317">
        <f t="shared" si="20"/>
        <v>0</v>
      </c>
      <c r="AC20" s="1317">
        <f t="shared" si="21"/>
        <v>0</v>
      </c>
      <c r="AD20" s="1318">
        <f>[1]Субсидия_факт!GS22</f>
        <v>0</v>
      </c>
      <c r="AE20" s="1320"/>
      <c r="AF20" s="1083">
        <f>[1]Субсидия_факт!GY22</f>
        <v>0</v>
      </c>
      <c r="AG20" s="1087">
        <f t="shared" si="2"/>
        <v>0</v>
      </c>
      <c r="AH20" s="1317">
        <f t="shared" si="22"/>
        <v>0</v>
      </c>
      <c r="AI20" s="1317">
        <f t="shared" si="23"/>
        <v>0</v>
      </c>
      <c r="AJ20" s="1318">
        <f>[1]Субсидия_факт!HA22</f>
        <v>0</v>
      </c>
      <c r="AK20" s="1320"/>
      <c r="AL20" s="1083">
        <f>[1]Субсидия_факт!HK22</f>
        <v>190000</v>
      </c>
      <c r="AM20" s="1087">
        <f>AL20</f>
        <v>190000</v>
      </c>
      <c r="AN20" s="1317">
        <f t="shared" si="24"/>
        <v>190000</v>
      </c>
      <c r="AO20" s="1317">
        <f t="shared" si="25"/>
        <v>190000</v>
      </c>
      <c r="AP20" s="1318">
        <f>[1]Субсидия_факт!HM22</f>
        <v>0</v>
      </c>
      <c r="AQ20" s="1320"/>
      <c r="AR20" s="1083">
        <f>[1]Субсидия_факт!II22</f>
        <v>3091988</v>
      </c>
      <c r="AS20" s="1383">
        <f>14080930.2-'Прочая  субсидия_МР  и  ГО'!AI20</f>
        <v>1783466.1499999985</v>
      </c>
      <c r="AT20" s="1317">
        <f t="shared" si="26"/>
        <v>3091988</v>
      </c>
      <c r="AU20" s="1317">
        <f t="shared" si="27"/>
        <v>1783466.1499999985</v>
      </c>
      <c r="AV20" s="1318">
        <f>[1]Субсидия_факт!IK22</f>
        <v>0</v>
      </c>
      <c r="AW20" s="1320"/>
      <c r="AX20" s="1083">
        <f>[1]Субсидия_факт!IO22</f>
        <v>0</v>
      </c>
      <c r="AY20" s="1084"/>
      <c r="AZ20" s="1317">
        <f t="shared" si="28"/>
        <v>0</v>
      </c>
      <c r="BA20" s="1317">
        <f t="shared" si="29"/>
        <v>0</v>
      </c>
      <c r="BB20" s="1318">
        <f>[1]Субсидия_факт!IQ22</f>
        <v>0</v>
      </c>
      <c r="BC20" s="1320"/>
      <c r="BD20" s="1083">
        <f>[1]Субсидия_факт!MA22</f>
        <v>0</v>
      </c>
      <c r="BE20" s="1084"/>
      <c r="BF20" s="1317">
        <f t="shared" si="30"/>
        <v>0</v>
      </c>
      <c r="BG20" s="1317"/>
      <c r="BH20" s="1318">
        <f>[1]Субсидия_факт!MC22</f>
        <v>0</v>
      </c>
      <c r="BI20" s="1320"/>
      <c r="BJ20" s="1083">
        <f>[1]Субсидия_факт!MS22</f>
        <v>0</v>
      </c>
      <c r="BK20" s="1087">
        <f t="shared" si="3"/>
        <v>0</v>
      </c>
      <c r="BL20" s="1317">
        <f t="shared" si="31"/>
        <v>0</v>
      </c>
      <c r="BM20" s="1317">
        <f t="shared" si="32"/>
        <v>0</v>
      </c>
      <c r="BN20" s="1318">
        <f>[1]Субсидия_факт!MU22</f>
        <v>0</v>
      </c>
      <c r="BO20" s="1319">
        <f t="shared" si="33"/>
        <v>0</v>
      </c>
      <c r="BP20" s="1083">
        <f>[1]Субсидия_факт!NC22</f>
        <v>0</v>
      </c>
      <c r="BQ20" s="1087">
        <f t="shared" si="34"/>
        <v>0</v>
      </c>
      <c r="BR20" s="1317">
        <f t="shared" si="35"/>
        <v>0</v>
      </c>
      <c r="BS20" s="1317"/>
      <c r="BT20" s="1318">
        <f>[1]Субсидия_факт!NE22</f>
        <v>0</v>
      </c>
      <c r="BU20" s="1319">
        <f t="shared" si="36"/>
        <v>0</v>
      </c>
      <c r="BV20" s="1083">
        <f>[1]Субсидия_факт!NK22</f>
        <v>0</v>
      </c>
      <c r="BW20" s="1084"/>
      <c r="BX20" s="1317">
        <f t="shared" si="37"/>
        <v>0</v>
      </c>
      <c r="BY20" s="1317">
        <f t="shared" si="38"/>
        <v>0</v>
      </c>
      <c r="BZ20" s="1318">
        <f>[1]Субсидия_факт!NM22</f>
        <v>0</v>
      </c>
      <c r="CA20" s="1320"/>
      <c r="CB20" s="1083">
        <f>[1]Субсидия_факт!NQ22</f>
        <v>0</v>
      </c>
      <c r="CC20" s="1084"/>
      <c r="CD20" s="1317">
        <f t="shared" si="39"/>
        <v>0</v>
      </c>
      <c r="CE20" s="1317">
        <f t="shared" si="40"/>
        <v>0</v>
      </c>
      <c r="CF20" s="1318">
        <f>[1]Субсидия_факт!NS22</f>
        <v>0</v>
      </c>
      <c r="CG20" s="1320"/>
      <c r="CH20" s="1083">
        <f>[1]Субсидия_факт!NW22</f>
        <v>0</v>
      </c>
      <c r="CI20" s="1084"/>
      <c r="CJ20" s="1317">
        <f t="shared" si="41"/>
        <v>0</v>
      </c>
      <c r="CK20" s="1317">
        <f t="shared" si="42"/>
        <v>0</v>
      </c>
      <c r="CL20" s="1318">
        <f>[1]Субсидия_факт!NY22</f>
        <v>0</v>
      </c>
      <c r="CM20" s="1319">
        <f t="shared" si="43"/>
        <v>0</v>
      </c>
      <c r="CN20" s="1083">
        <f>[1]Субсидия_факт!OC22</f>
        <v>602249.47</v>
      </c>
      <c r="CO20" s="1087">
        <f t="shared" si="44"/>
        <v>602249.47</v>
      </c>
      <c r="CP20" s="1317">
        <f t="shared" si="45"/>
        <v>602249.47</v>
      </c>
      <c r="CQ20" s="1317">
        <f t="shared" si="46"/>
        <v>602249.47</v>
      </c>
      <c r="CR20" s="1318">
        <f>[1]Субсидия_факт!OE22</f>
        <v>0</v>
      </c>
      <c r="CS20" s="1319">
        <f t="shared" si="47"/>
        <v>0</v>
      </c>
      <c r="CT20" s="1083">
        <f>[1]Субсидия_факт!PM22</f>
        <v>75247346</v>
      </c>
      <c r="CU20" s="1084">
        <v>25017681</v>
      </c>
      <c r="CV20" s="1317">
        <f t="shared" si="48"/>
        <v>75247346</v>
      </c>
      <c r="CW20" s="1317">
        <f t="shared" si="49"/>
        <v>25017681</v>
      </c>
      <c r="CX20" s="1318">
        <f>[1]Субсидия_факт!PO22</f>
        <v>0</v>
      </c>
      <c r="CY20" s="1320"/>
      <c r="CZ20" s="1083">
        <f>[1]Субсидия_факт!PS22</f>
        <v>6781992.29</v>
      </c>
      <c r="DA20" s="1087">
        <f t="shared" si="53"/>
        <v>6781992.29</v>
      </c>
      <c r="DB20" s="1317">
        <f t="shared" si="50"/>
        <v>6781992.29</v>
      </c>
      <c r="DC20" s="1317">
        <f t="shared" si="51"/>
        <v>6781992.29</v>
      </c>
      <c r="DD20" s="1318">
        <f>[1]Субсидия_факт!PU22</f>
        <v>0</v>
      </c>
      <c r="DE20" s="1319">
        <f t="shared" si="5"/>
        <v>0</v>
      </c>
    </row>
    <row r="21" spans="1:109" s="1321" customFormat="1" ht="21" customHeight="1" x14ac:dyDescent="0.3">
      <c r="A21" s="1335" t="s">
        <v>101</v>
      </c>
      <c r="B21" s="1315">
        <f t="shared" si="6"/>
        <v>32911305.34</v>
      </c>
      <c r="C21" s="1315">
        <f t="shared" si="7"/>
        <v>21645769.34</v>
      </c>
      <c r="D21" s="1316">
        <f t="shared" si="8"/>
        <v>32911305.34</v>
      </c>
      <c r="E21" s="1316">
        <f t="shared" si="9"/>
        <v>21645769.34</v>
      </c>
      <c r="F21" s="1316">
        <f t="shared" si="10"/>
        <v>0</v>
      </c>
      <c r="G21" s="1316">
        <f t="shared" si="11"/>
        <v>0</v>
      </c>
      <c r="H21" s="1083">
        <f>[1]Субсидия_факт!CK23</f>
        <v>0</v>
      </c>
      <c r="I21" s="1087">
        <f t="shared" si="1"/>
        <v>0</v>
      </c>
      <c r="J21" s="1317">
        <f t="shared" si="12"/>
        <v>0</v>
      </c>
      <c r="K21" s="1317">
        <f t="shared" si="13"/>
        <v>0</v>
      </c>
      <c r="L21" s="1318">
        <f>[1]Субсидия_факт!CM23</f>
        <v>0</v>
      </c>
      <c r="M21" s="1319">
        <f t="shared" si="14"/>
        <v>0</v>
      </c>
      <c r="N21" s="1083">
        <f>[1]Субсидия_факт!FG23</f>
        <v>4420927</v>
      </c>
      <c r="O21" s="1084">
        <v>651591</v>
      </c>
      <c r="P21" s="1317">
        <f t="shared" si="16"/>
        <v>4420927</v>
      </c>
      <c r="Q21" s="1317">
        <f t="shared" si="17"/>
        <v>651591</v>
      </c>
      <c r="R21" s="1318">
        <f>[1]Субсидия_факт!FI23</f>
        <v>0</v>
      </c>
      <c r="S21" s="1320"/>
      <c r="T21" s="1083">
        <f>[1]Субсидия_факт!FS23</f>
        <v>0</v>
      </c>
      <c r="U21" s="1383">
        <f>55956094-'Прочая  субсидия_МР  и  ГО'!AA21-'Проверочная  таблица'!AS25-'Проверочная  таблица'!BE25</f>
        <v>0</v>
      </c>
      <c r="V21" s="1317">
        <f t="shared" si="18"/>
        <v>0</v>
      </c>
      <c r="W21" s="1317">
        <f t="shared" si="19"/>
        <v>0</v>
      </c>
      <c r="X21" s="1318">
        <f>[1]Субсидия_факт!FU23</f>
        <v>0</v>
      </c>
      <c r="Y21" s="1320"/>
      <c r="Z21" s="1083">
        <f>[1]Субсидия_факт!GQ23</f>
        <v>0</v>
      </c>
      <c r="AA21" s="1084"/>
      <c r="AB21" s="1317">
        <f t="shared" si="20"/>
        <v>0</v>
      </c>
      <c r="AC21" s="1317">
        <f t="shared" si="21"/>
        <v>0</v>
      </c>
      <c r="AD21" s="1318">
        <f>[1]Субсидия_факт!GS23</f>
        <v>0</v>
      </c>
      <c r="AE21" s="1320"/>
      <c r="AF21" s="1083">
        <f>[1]Субсидия_факт!GY23</f>
        <v>135000</v>
      </c>
      <c r="AG21" s="1087">
        <f t="shared" si="2"/>
        <v>135000</v>
      </c>
      <c r="AH21" s="1317">
        <f t="shared" si="22"/>
        <v>135000</v>
      </c>
      <c r="AI21" s="1317">
        <f t="shared" si="23"/>
        <v>135000</v>
      </c>
      <c r="AJ21" s="1318">
        <f>[1]Субсидия_факт!HA23</f>
        <v>0</v>
      </c>
      <c r="AK21" s="1320"/>
      <c r="AL21" s="1083">
        <f>[1]Субсидия_факт!HK23</f>
        <v>0</v>
      </c>
      <c r="AM21" s="1084"/>
      <c r="AN21" s="1317">
        <f t="shared" si="24"/>
        <v>0</v>
      </c>
      <c r="AO21" s="1317">
        <f t="shared" si="25"/>
        <v>0</v>
      </c>
      <c r="AP21" s="1318">
        <f>[1]Субсидия_факт!HM23</f>
        <v>0</v>
      </c>
      <c r="AQ21" s="1320"/>
      <c r="AR21" s="1083">
        <f>[1]Субсидия_факт!II23</f>
        <v>4389668</v>
      </c>
      <c r="AS21" s="1383">
        <f>23411609.64-'Прочая  субсидия_МР  и  ГО'!AI21</f>
        <v>0</v>
      </c>
      <c r="AT21" s="1317">
        <f t="shared" si="26"/>
        <v>4389668</v>
      </c>
      <c r="AU21" s="1317">
        <f t="shared" si="27"/>
        <v>0</v>
      </c>
      <c r="AV21" s="1318">
        <f>[1]Субсидия_факт!IK23</f>
        <v>0</v>
      </c>
      <c r="AW21" s="1320"/>
      <c r="AX21" s="1083">
        <f>[1]Субсидия_факт!IO23</f>
        <v>0</v>
      </c>
      <c r="AY21" s="1084"/>
      <c r="AZ21" s="1317">
        <f t="shared" si="28"/>
        <v>0</v>
      </c>
      <c r="BA21" s="1317">
        <f t="shared" si="29"/>
        <v>0</v>
      </c>
      <c r="BB21" s="1318">
        <f>[1]Субсидия_факт!IQ23</f>
        <v>0</v>
      </c>
      <c r="BC21" s="1320"/>
      <c r="BD21" s="1083">
        <f>[1]Субсидия_факт!MA23</f>
        <v>0</v>
      </c>
      <c r="BE21" s="1084"/>
      <c r="BF21" s="1317">
        <f t="shared" si="30"/>
        <v>0</v>
      </c>
      <c r="BG21" s="1317"/>
      <c r="BH21" s="1318">
        <f>[1]Субсидия_факт!MC23</f>
        <v>0</v>
      </c>
      <c r="BI21" s="1320"/>
      <c r="BJ21" s="1083">
        <f>[1]Субсидия_факт!MS23</f>
        <v>0</v>
      </c>
      <c r="BK21" s="1087">
        <f t="shared" si="3"/>
        <v>0</v>
      </c>
      <c r="BL21" s="1317">
        <f t="shared" si="31"/>
        <v>0</v>
      </c>
      <c r="BM21" s="1317">
        <f t="shared" si="32"/>
        <v>0</v>
      </c>
      <c r="BN21" s="1318">
        <f>[1]Субсидия_факт!MU23</f>
        <v>0</v>
      </c>
      <c r="BO21" s="1319">
        <f t="shared" si="33"/>
        <v>0</v>
      </c>
      <c r="BP21" s="1083">
        <f>[1]Субсидия_факт!NC23</f>
        <v>0</v>
      </c>
      <c r="BQ21" s="1087">
        <f t="shared" si="34"/>
        <v>0</v>
      </c>
      <c r="BR21" s="1317">
        <f t="shared" si="35"/>
        <v>0</v>
      </c>
      <c r="BS21" s="1317"/>
      <c r="BT21" s="1318">
        <f>[1]Субсидия_факт!NE23</f>
        <v>0</v>
      </c>
      <c r="BU21" s="1319">
        <f t="shared" si="36"/>
        <v>0</v>
      </c>
      <c r="BV21" s="1083">
        <f>[1]Субсидия_факт!NK23</f>
        <v>0</v>
      </c>
      <c r="BW21" s="1084"/>
      <c r="BX21" s="1317">
        <f t="shared" si="37"/>
        <v>0</v>
      </c>
      <c r="BY21" s="1317">
        <f t="shared" si="38"/>
        <v>0</v>
      </c>
      <c r="BZ21" s="1318">
        <f>[1]Субсидия_факт!NM23</f>
        <v>0</v>
      </c>
      <c r="CA21" s="1320"/>
      <c r="CB21" s="1083">
        <f>[1]Субсидия_факт!NQ23</f>
        <v>0</v>
      </c>
      <c r="CC21" s="1084"/>
      <c r="CD21" s="1317">
        <f t="shared" si="39"/>
        <v>0</v>
      </c>
      <c r="CE21" s="1317">
        <f t="shared" si="40"/>
        <v>0</v>
      </c>
      <c r="CF21" s="1318">
        <f>[1]Субсидия_факт!NS23</f>
        <v>0</v>
      </c>
      <c r="CG21" s="1320"/>
      <c r="CH21" s="1083">
        <f>[1]Субсидия_факт!NW23</f>
        <v>0</v>
      </c>
      <c r="CI21" s="1084"/>
      <c r="CJ21" s="1317">
        <f t="shared" si="41"/>
        <v>0</v>
      </c>
      <c r="CK21" s="1317">
        <f t="shared" si="42"/>
        <v>0</v>
      </c>
      <c r="CL21" s="1318">
        <f>[1]Субсидия_факт!NY23</f>
        <v>0</v>
      </c>
      <c r="CM21" s="1319">
        <f t="shared" si="43"/>
        <v>0</v>
      </c>
      <c r="CN21" s="1083">
        <f>[1]Субсидия_факт!OC23</f>
        <v>382884.09</v>
      </c>
      <c r="CO21" s="1087">
        <f t="shared" si="44"/>
        <v>382884.09</v>
      </c>
      <c r="CP21" s="1317">
        <f t="shared" si="45"/>
        <v>382884.09</v>
      </c>
      <c r="CQ21" s="1317">
        <f t="shared" si="46"/>
        <v>382884.09</v>
      </c>
      <c r="CR21" s="1318">
        <f>[1]Субсидия_факт!OE23</f>
        <v>0</v>
      </c>
      <c r="CS21" s="1319">
        <f t="shared" si="47"/>
        <v>0</v>
      </c>
      <c r="CT21" s="1083">
        <f>[1]Субсидия_факт!PM23</f>
        <v>22033452</v>
      </c>
      <c r="CU21" s="1084">
        <v>18926920</v>
      </c>
      <c r="CV21" s="1317">
        <f t="shared" si="48"/>
        <v>22033452</v>
      </c>
      <c r="CW21" s="1317">
        <f t="shared" si="49"/>
        <v>18926920</v>
      </c>
      <c r="CX21" s="1318">
        <f>[1]Субсидия_факт!PO23</f>
        <v>0</v>
      </c>
      <c r="CY21" s="1320"/>
      <c r="CZ21" s="1083">
        <f>[1]Субсидия_факт!PS23</f>
        <v>1549374.25</v>
      </c>
      <c r="DA21" s="1087">
        <f t="shared" si="53"/>
        <v>1549374.25</v>
      </c>
      <c r="DB21" s="1317">
        <f t="shared" si="50"/>
        <v>1549374.25</v>
      </c>
      <c r="DC21" s="1317">
        <f t="shared" si="51"/>
        <v>1549374.25</v>
      </c>
      <c r="DD21" s="1318">
        <f>[1]Субсидия_факт!PU23</f>
        <v>0</v>
      </c>
      <c r="DE21" s="1319">
        <f t="shared" si="5"/>
        <v>0</v>
      </c>
    </row>
    <row r="22" spans="1:109" s="1321" customFormat="1" ht="21" customHeight="1" x14ac:dyDescent="0.3">
      <c r="A22" s="1335" t="s">
        <v>102</v>
      </c>
      <c r="B22" s="1315">
        <f t="shared" si="6"/>
        <v>63360901.269999996</v>
      </c>
      <c r="C22" s="1315">
        <f t="shared" si="7"/>
        <v>48228471.269999996</v>
      </c>
      <c r="D22" s="1316">
        <f t="shared" si="8"/>
        <v>63360901.269999996</v>
      </c>
      <c r="E22" s="1316">
        <f t="shared" si="9"/>
        <v>48228471.269999996</v>
      </c>
      <c r="F22" s="1316">
        <f t="shared" si="10"/>
        <v>0</v>
      </c>
      <c r="G22" s="1316">
        <f t="shared" si="11"/>
        <v>0</v>
      </c>
      <c r="H22" s="1083">
        <f>[1]Субсидия_факт!CK24</f>
        <v>0</v>
      </c>
      <c r="I22" s="1087">
        <f t="shared" si="1"/>
        <v>0</v>
      </c>
      <c r="J22" s="1317">
        <f t="shared" si="12"/>
        <v>0</v>
      </c>
      <c r="K22" s="1317">
        <f t="shared" si="13"/>
        <v>0</v>
      </c>
      <c r="L22" s="1318">
        <f>[1]Субсидия_факт!CM24</f>
        <v>0</v>
      </c>
      <c r="M22" s="1319">
        <f t="shared" si="14"/>
        <v>0</v>
      </c>
      <c r="N22" s="1083">
        <f>[1]Субсидия_факт!FG24</f>
        <v>0</v>
      </c>
      <c r="O22" s="1084"/>
      <c r="P22" s="1317">
        <f t="shared" si="16"/>
        <v>0</v>
      </c>
      <c r="Q22" s="1317">
        <f t="shared" si="17"/>
        <v>0</v>
      </c>
      <c r="R22" s="1318">
        <f>[1]Субсидия_факт!FI24</f>
        <v>0</v>
      </c>
      <c r="S22" s="1320"/>
      <c r="T22" s="1083">
        <f>[1]Субсидия_факт!FS24</f>
        <v>30495347</v>
      </c>
      <c r="U22" s="1383">
        <f>26782425-'Прочая  субсидия_МР  и  ГО'!AA22-'Проверочная  таблица'!AS26-'Проверочная  таблица'!BE26</f>
        <v>26782425</v>
      </c>
      <c r="V22" s="1317">
        <f t="shared" si="18"/>
        <v>30495347</v>
      </c>
      <c r="W22" s="1317">
        <f t="shared" si="19"/>
        <v>26782425</v>
      </c>
      <c r="X22" s="1318">
        <f>[1]Субсидия_факт!FU24</f>
        <v>0</v>
      </c>
      <c r="Y22" s="1320"/>
      <c r="Z22" s="1083">
        <f>[1]Субсидия_факт!GQ24</f>
        <v>0</v>
      </c>
      <c r="AA22" s="1084"/>
      <c r="AB22" s="1317">
        <f t="shared" si="20"/>
        <v>0</v>
      </c>
      <c r="AC22" s="1317">
        <f t="shared" si="21"/>
        <v>0</v>
      </c>
      <c r="AD22" s="1318">
        <f>[1]Субсидия_факт!GS24</f>
        <v>0</v>
      </c>
      <c r="AE22" s="1320"/>
      <c r="AF22" s="1083">
        <f>[1]Субсидия_факт!GY24</f>
        <v>465285</v>
      </c>
      <c r="AG22" s="1087">
        <f t="shared" si="2"/>
        <v>465285</v>
      </c>
      <c r="AH22" s="1317">
        <f t="shared" si="22"/>
        <v>465285</v>
      </c>
      <c r="AI22" s="1317">
        <f t="shared" si="23"/>
        <v>465285</v>
      </c>
      <c r="AJ22" s="1318">
        <f>[1]Субсидия_факт!HA24</f>
        <v>0</v>
      </c>
      <c r="AK22" s="1320"/>
      <c r="AL22" s="1083">
        <f>[1]Субсидия_факт!HK24</f>
        <v>0</v>
      </c>
      <c r="AM22" s="1084"/>
      <c r="AN22" s="1317">
        <f t="shared" si="24"/>
        <v>0</v>
      </c>
      <c r="AO22" s="1317">
        <f t="shared" si="25"/>
        <v>0</v>
      </c>
      <c r="AP22" s="1318">
        <f>[1]Субсидия_факт!HM24</f>
        <v>0</v>
      </c>
      <c r="AQ22" s="1320"/>
      <c r="AR22" s="1083">
        <f>[1]Субсидия_факт!II24</f>
        <v>3709710</v>
      </c>
      <c r="AS22" s="1383">
        <f>429357-'Прочая  субсидия_МР  и  ГО'!AI22</f>
        <v>429357</v>
      </c>
      <c r="AT22" s="1317">
        <f t="shared" si="26"/>
        <v>3709710</v>
      </c>
      <c r="AU22" s="1317">
        <f t="shared" si="27"/>
        <v>429357</v>
      </c>
      <c r="AV22" s="1318">
        <f>[1]Субсидия_факт!IK24</f>
        <v>0</v>
      </c>
      <c r="AW22" s="1320"/>
      <c r="AX22" s="1083">
        <f>[1]Субсидия_факт!IO24</f>
        <v>0</v>
      </c>
      <c r="AY22" s="1084"/>
      <c r="AZ22" s="1317">
        <f t="shared" si="28"/>
        <v>0</v>
      </c>
      <c r="BA22" s="1317">
        <f t="shared" si="29"/>
        <v>0</v>
      </c>
      <c r="BB22" s="1318">
        <f>[1]Субсидия_факт!IQ24</f>
        <v>0</v>
      </c>
      <c r="BC22" s="1320"/>
      <c r="BD22" s="1083">
        <f>[1]Субсидия_факт!MA24</f>
        <v>0</v>
      </c>
      <c r="BE22" s="1084"/>
      <c r="BF22" s="1317">
        <f t="shared" si="30"/>
        <v>0</v>
      </c>
      <c r="BG22" s="1317"/>
      <c r="BH22" s="1318">
        <f>[1]Субсидия_факт!MC24</f>
        <v>0</v>
      </c>
      <c r="BI22" s="1320"/>
      <c r="BJ22" s="1083">
        <f>[1]Субсидия_факт!MS24</f>
        <v>0</v>
      </c>
      <c r="BK22" s="1087">
        <f t="shared" si="3"/>
        <v>0</v>
      </c>
      <c r="BL22" s="1317">
        <f t="shared" si="31"/>
        <v>0</v>
      </c>
      <c r="BM22" s="1317">
        <f t="shared" si="32"/>
        <v>0</v>
      </c>
      <c r="BN22" s="1318">
        <f>[1]Субсидия_факт!MU24</f>
        <v>0</v>
      </c>
      <c r="BO22" s="1319">
        <f t="shared" si="33"/>
        <v>0</v>
      </c>
      <c r="BP22" s="1083">
        <f>[1]Субсидия_факт!NC24</f>
        <v>0</v>
      </c>
      <c r="BQ22" s="1087">
        <f t="shared" si="34"/>
        <v>0</v>
      </c>
      <c r="BR22" s="1317">
        <f t="shared" si="35"/>
        <v>0</v>
      </c>
      <c r="BS22" s="1317"/>
      <c r="BT22" s="1318">
        <f>[1]Субсидия_факт!NE24</f>
        <v>0</v>
      </c>
      <c r="BU22" s="1319">
        <f t="shared" si="36"/>
        <v>0</v>
      </c>
      <c r="BV22" s="1083">
        <f>[1]Субсидия_факт!NK24</f>
        <v>0</v>
      </c>
      <c r="BW22" s="1084"/>
      <c r="BX22" s="1317">
        <f t="shared" si="37"/>
        <v>0</v>
      </c>
      <c r="BY22" s="1317">
        <f t="shared" si="38"/>
        <v>0</v>
      </c>
      <c r="BZ22" s="1318">
        <f>[1]Субсидия_факт!NM24</f>
        <v>0</v>
      </c>
      <c r="CA22" s="1320"/>
      <c r="CB22" s="1083">
        <f>[1]Субсидия_факт!NQ24</f>
        <v>0</v>
      </c>
      <c r="CC22" s="1084"/>
      <c r="CD22" s="1317">
        <f t="shared" si="39"/>
        <v>0</v>
      </c>
      <c r="CE22" s="1317">
        <f t="shared" si="40"/>
        <v>0</v>
      </c>
      <c r="CF22" s="1318">
        <f>[1]Субсидия_факт!NS24</f>
        <v>0</v>
      </c>
      <c r="CG22" s="1320"/>
      <c r="CH22" s="1083">
        <f>[1]Субсидия_факт!NW24</f>
        <v>0</v>
      </c>
      <c r="CI22" s="1084"/>
      <c r="CJ22" s="1317">
        <f t="shared" si="41"/>
        <v>0</v>
      </c>
      <c r="CK22" s="1317">
        <f t="shared" si="42"/>
        <v>0</v>
      </c>
      <c r="CL22" s="1318">
        <f>[1]Субсидия_факт!NY24</f>
        <v>0</v>
      </c>
      <c r="CM22" s="1319">
        <f t="shared" si="43"/>
        <v>0</v>
      </c>
      <c r="CN22" s="1083">
        <f>[1]Субсидия_факт!OC24</f>
        <v>309495.17999999993</v>
      </c>
      <c r="CO22" s="1087">
        <f t="shared" si="44"/>
        <v>309495.17999999993</v>
      </c>
      <c r="CP22" s="1317">
        <f t="shared" si="45"/>
        <v>309495.17999999993</v>
      </c>
      <c r="CQ22" s="1317">
        <f t="shared" si="46"/>
        <v>309495.17999999993</v>
      </c>
      <c r="CR22" s="1318">
        <f>[1]Субсидия_факт!OE24</f>
        <v>0</v>
      </c>
      <c r="CS22" s="1319">
        <f t="shared" si="47"/>
        <v>0</v>
      </c>
      <c r="CT22" s="1083">
        <f>[1]Субсидия_факт!PM24</f>
        <v>20992224</v>
      </c>
      <c r="CU22" s="1084">
        <v>12853069</v>
      </c>
      <c r="CV22" s="1317">
        <f t="shared" si="48"/>
        <v>20992224</v>
      </c>
      <c r="CW22" s="1317">
        <f t="shared" si="49"/>
        <v>12853069</v>
      </c>
      <c r="CX22" s="1318">
        <f>[1]Субсидия_факт!PO24</f>
        <v>0</v>
      </c>
      <c r="CY22" s="1320"/>
      <c r="CZ22" s="1083">
        <f>[1]Субсидия_факт!PS24</f>
        <v>7388840.0899999999</v>
      </c>
      <c r="DA22" s="1087">
        <f t="shared" si="53"/>
        <v>7388840.0899999999</v>
      </c>
      <c r="DB22" s="1317">
        <f t="shared" si="50"/>
        <v>7388840.0899999999</v>
      </c>
      <c r="DC22" s="1317">
        <f t="shared" si="51"/>
        <v>7388840.0899999999</v>
      </c>
      <c r="DD22" s="1318">
        <f>[1]Субсидия_факт!PU24</f>
        <v>0</v>
      </c>
      <c r="DE22" s="1319">
        <f t="shared" si="5"/>
        <v>0</v>
      </c>
    </row>
    <row r="23" spans="1:109" s="1321" customFormat="1" ht="21" customHeight="1" x14ac:dyDescent="0.3">
      <c r="A23" s="1335" t="s">
        <v>103</v>
      </c>
      <c r="B23" s="1315">
        <f t="shared" si="6"/>
        <v>83227002.460000008</v>
      </c>
      <c r="C23" s="1315">
        <f t="shared" si="7"/>
        <v>51946638.460000001</v>
      </c>
      <c r="D23" s="1316">
        <f t="shared" si="8"/>
        <v>30242895.010000002</v>
      </c>
      <c r="E23" s="1316">
        <f t="shared" si="9"/>
        <v>11612570.01</v>
      </c>
      <c r="F23" s="1316">
        <f t="shared" si="10"/>
        <v>52984107.450000003</v>
      </c>
      <c r="G23" s="1316">
        <f t="shared" si="11"/>
        <v>40334068.450000003</v>
      </c>
      <c r="H23" s="1083">
        <f>[1]Субсидия_факт!CK25</f>
        <v>2412</v>
      </c>
      <c r="I23" s="1087">
        <f t="shared" si="1"/>
        <v>2412</v>
      </c>
      <c r="J23" s="1317">
        <f t="shared" si="12"/>
        <v>0</v>
      </c>
      <c r="K23" s="1317">
        <f t="shared" si="13"/>
        <v>0</v>
      </c>
      <c r="L23" s="1318">
        <f>[1]Субсидия_факт!CM25</f>
        <v>2412</v>
      </c>
      <c r="M23" s="1319">
        <f t="shared" si="14"/>
        <v>2412</v>
      </c>
      <c r="N23" s="1083">
        <f>[1]Субсидия_факт!FG25</f>
        <v>315000</v>
      </c>
      <c r="O23" s="1084">
        <v>0</v>
      </c>
      <c r="P23" s="1317">
        <f t="shared" si="16"/>
        <v>0</v>
      </c>
      <c r="Q23" s="1317">
        <f t="shared" si="17"/>
        <v>0</v>
      </c>
      <c r="R23" s="1318">
        <f>[1]Субсидия_факт!FI25</f>
        <v>315000</v>
      </c>
      <c r="S23" s="1320"/>
      <c r="T23" s="1083">
        <f>[1]Субсидия_факт!FS25</f>
        <v>40102316</v>
      </c>
      <c r="U23" s="1383">
        <f>85026424-'Прочая  субсидия_МР  и  ГО'!AA23-'Проверочная  таблица'!AS27-'Проверочная  таблица'!BE27</f>
        <v>30548847</v>
      </c>
      <c r="V23" s="1317">
        <f t="shared" si="18"/>
        <v>8102316</v>
      </c>
      <c r="W23" s="1317">
        <f t="shared" si="19"/>
        <v>2155251</v>
      </c>
      <c r="X23" s="1318">
        <f>[1]Субсидия_факт!FU25</f>
        <v>32000000</v>
      </c>
      <c r="Y23" s="1320">
        <v>28393596</v>
      </c>
      <c r="Z23" s="1083">
        <f>[1]Субсидия_факт!GQ25</f>
        <v>0</v>
      </c>
      <c r="AA23" s="1084"/>
      <c r="AB23" s="1317">
        <f t="shared" si="20"/>
        <v>0</v>
      </c>
      <c r="AC23" s="1317">
        <f t="shared" si="21"/>
        <v>0</v>
      </c>
      <c r="AD23" s="1318">
        <f>[1]Субсидия_факт!GS25</f>
        <v>0</v>
      </c>
      <c r="AE23" s="1320"/>
      <c r="AF23" s="1083">
        <f>[1]Субсидия_факт!GY25</f>
        <v>135100</v>
      </c>
      <c r="AG23" s="1087">
        <f t="shared" si="2"/>
        <v>135100</v>
      </c>
      <c r="AH23" s="1317">
        <f t="shared" si="22"/>
        <v>135100</v>
      </c>
      <c r="AI23" s="1317">
        <f t="shared" si="23"/>
        <v>135100</v>
      </c>
      <c r="AJ23" s="1318">
        <f>[1]Субсидия_факт!HA25</f>
        <v>0</v>
      </c>
      <c r="AK23" s="1320"/>
      <c r="AL23" s="1083">
        <f>[1]Субсидия_факт!HK25</f>
        <v>350000</v>
      </c>
      <c r="AM23" s="1087">
        <f t="shared" ref="AM23:AM24" si="54">AL23</f>
        <v>350000</v>
      </c>
      <c r="AN23" s="1317">
        <f t="shared" si="24"/>
        <v>0</v>
      </c>
      <c r="AO23" s="1317">
        <f t="shared" si="25"/>
        <v>0</v>
      </c>
      <c r="AP23" s="1318">
        <f>[1]Субсидия_факт!HM25</f>
        <v>350000</v>
      </c>
      <c r="AQ23" s="1319">
        <f>AP23</f>
        <v>350000</v>
      </c>
      <c r="AR23" s="1083">
        <f>[1]Субсидия_факт!II25</f>
        <v>2547642</v>
      </c>
      <c r="AS23" s="1383">
        <f>0-'Прочая  субсидия_МР  и  ГО'!AI23</f>
        <v>0</v>
      </c>
      <c r="AT23" s="1317">
        <f t="shared" si="26"/>
        <v>2547642</v>
      </c>
      <c r="AU23" s="1317">
        <f t="shared" si="27"/>
        <v>0</v>
      </c>
      <c r="AV23" s="1318">
        <f>[1]Субсидия_факт!IK25</f>
        <v>0</v>
      </c>
      <c r="AW23" s="1320"/>
      <c r="AX23" s="1083">
        <f>[1]Субсидия_факт!IO25</f>
        <v>0</v>
      </c>
      <c r="AY23" s="1084"/>
      <c r="AZ23" s="1317">
        <f t="shared" si="28"/>
        <v>0</v>
      </c>
      <c r="BA23" s="1317">
        <f t="shared" si="29"/>
        <v>0</v>
      </c>
      <c r="BB23" s="1318">
        <f>[1]Субсидия_факт!IQ25</f>
        <v>0</v>
      </c>
      <c r="BC23" s="1320"/>
      <c r="BD23" s="1083">
        <f>[1]Субсидия_факт!MA25</f>
        <v>0</v>
      </c>
      <c r="BE23" s="1084"/>
      <c r="BF23" s="1317">
        <f t="shared" si="30"/>
        <v>0</v>
      </c>
      <c r="BG23" s="1317"/>
      <c r="BH23" s="1318">
        <f>[1]Субсидия_факт!MC25</f>
        <v>0</v>
      </c>
      <c r="BI23" s="1320"/>
      <c r="BJ23" s="1083">
        <f>[1]Субсидия_факт!MS25</f>
        <v>0</v>
      </c>
      <c r="BK23" s="1087">
        <f t="shared" si="3"/>
        <v>0</v>
      </c>
      <c r="BL23" s="1317">
        <f t="shared" si="31"/>
        <v>0</v>
      </c>
      <c r="BM23" s="1317">
        <f t="shared" si="32"/>
        <v>0</v>
      </c>
      <c r="BN23" s="1318">
        <f>[1]Субсидия_факт!MU25</f>
        <v>0</v>
      </c>
      <c r="BO23" s="1319">
        <f t="shared" si="33"/>
        <v>0</v>
      </c>
      <c r="BP23" s="1083">
        <f>[1]Субсидия_факт!NC25</f>
        <v>0</v>
      </c>
      <c r="BQ23" s="1087">
        <f t="shared" si="34"/>
        <v>0</v>
      </c>
      <c r="BR23" s="1317">
        <f t="shared" si="35"/>
        <v>0</v>
      </c>
      <c r="BS23" s="1317"/>
      <c r="BT23" s="1318">
        <f>[1]Субсидия_факт!NE25</f>
        <v>0</v>
      </c>
      <c r="BU23" s="1319">
        <f t="shared" si="36"/>
        <v>0</v>
      </c>
      <c r="BV23" s="1083">
        <f>[1]Субсидия_факт!NK25</f>
        <v>0</v>
      </c>
      <c r="BW23" s="1084"/>
      <c r="BX23" s="1317">
        <f t="shared" si="37"/>
        <v>0</v>
      </c>
      <c r="BY23" s="1317">
        <f t="shared" si="38"/>
        <v>0</v>
      </c>
      <c r="BZ23" s="1318">
        <f>[1]Субсидия_факт!NM25</f>
        <v>0</v>
      </c>
      <c r="CA23" s="1320"/>
      <c r="CB23" s="1083">
        <f>[1]Субсидия_факт!NQ25</f>
        <v>0</v>
      </c>
      <c r="CC23" s="1084"/>
      <c r="CD23" s="1317">
        <f t="shared" si="39"/>
        <v>0</v>
      </c>
      <c r="CE23" s="1317">
        <f t="shared" si="40"/>
        <v>0</v>
      </c>
      <c r="CF23" s="1318">
        <f>[1]Субсидия_факт!NS25</f>
        <v>0</v>
      </c>
      <c r="CG23" s="1320"/>
      <c r="CH23" s="1083">
        <f>[1]Субсидия_факт!NW25</f>
        <v>2323200</v>
      </c>
      <c r="CI23" s="1084">
        <v>2195424</v>
      </c>
      <c r="CJ23" s="1317">
        <f t="shared" si="41"/>
        <v>0</v>
      </c>
      <c r="CK23" s="1317">
        <f t="shared" si="42"/>
        <v>0</v>
      </c>
      <c r="CL23" s="1318">
        <f>[1]Субсидия_факт!NY25</f>
        <v>2323200</v>
      </c>
      <c r="CM23" s="1319">
        <f t="shared" si="43"/>
        <v>2195424</v>
      </c>
      <c r="CN23" s="1083">
        <f>[1]Субсидия_факт!OC25</f>
        <v>799023.46</v>
      </c>
      <c r="CO23" s="1087">
        <f t="shared" si="44"/>
        <v>799023.46</v>
      </c>
      <c r="CP23" s="1317">
        <f t="shared" si="45"/>
        <v>706387.01</v>
      </c>
      <c r="CQ23" s="1317">
        <f t="shared" si="46"/>
        <v>706387.01</v>
      </c>
      <c r="CR23" s="1318">
        <f>[1]Субсидия_факт!OE25</f>
        <v>92636.45</v>
      </c>
      <c r="CS23" s="1319">
        <f t="shared" si="47"/>
        <v>92636.45</v>
      </c>
      <c r="CT23" s="1083">
        <f>[1]Субсидия_факт!PM25</f>
        <v>36652309</v>
      </c>
      <c r="CU23" s="1084">
        <v>17915832</v>
      </c>
      <c r="CV23" s="1317">
        <f t="shared" si="48"/>
        <v>18751450</v>
      </c>
      <c r="CW23" s="1317">
        <f t="shared" si="49"/>
        <v>8615832</v>
      </c>
      <c r="CX23" s="1318">
        <f>[1]Субсидия_факт!PO25</f>
        <v>17900859</v>
      </c>
      <c r="CY23" s="1320">
        <v>9300000</v>
      </c>
      <c r="CZ23" s="1083">
        <f>[1]Субсидия_факт!PS25</f>
        <v>0</v>
      </c>
      <c r="DA23" s="1087">
        <f t="shared" si="53"/>
        <v>0</v>
      </c>
      <c r="DB23" s="1317">
        <f t="shared" si="50"/>
        <v>0</v>
      </c>
      <c r="DC23" s="1317">
        <f t="shared" si="51"/>
        <v>0</v>
      </c>
      <c r="DD23" s="1318">
        <f>[1]Субсидия_факт!PU25</f>
        <v>0</v>
      </c>
      <c r="DE23" s="1319">
        <f t="shared" si="5"/>
        <v>0</v>
      </c>
    </row>
    <row r="24" spans="1:109" s="1321" customFormat="1" ht="21" customHeight="1" x14ac:dyDescent="0.3">
      <c r="A24" s="1335" t="s">
        <v>104</v>
      </c>
      <c r="B24" s="1315">
        <f t="shared" si="6"/>
        <v>23582766.809999999</v>
      </c>
      <c r="C24" s="1315">
        <f t="shared" si="7"/>
        <v>12361092.810000001</v>
      </c>
      <c r="D24" s="1316">
        <f t="shared" si="8"/>
        <v>23582766.809999999</v>
      </c>
      <c r="E24" s="1316">
        <f t="shared" si="9"/>
        <v>12361092.810000001</v>
      </c>
      <c r="F24" s="1316">
        <f t="shared" si="10"/>
        <v>0</v>
      </c>
      <c r="G24" s="1316">
        <f t="shared" si="11"/>
        <v>0</v>
      </c>
      <c r="H24" s="1083">
        <f>[1]Субсидия_факт!CK26</f>
        <v>0</v>
      </c>
      <c r="I24" s="1087">
        <f t="shared" si="1"/>
        <v>0</v>
      </c>
      <c r="J24" s="1317">
        <f t="shared" si="12"/>
        <v>0</v>
      </c>
      <c r="K24" s="1317">
        <f t="shared" si="13"/>
        <v>0</v>
      </c>
      <c r="L24" s="1318">
        <f>[1]Субсидия_факт!CM26</f>
        <v>0</v>
      </c>
      <c r="M24" s="1319">
        <f t="shared" si="14"/>
        <v>0</v>
      </c>
      <c r="N24" s="1083">
        <f>[1]Субсидия_факт!FG26</f>
        <v>3081600</v>
      </c>
      <c r="O24" s="1084">
        <v>1080153</v>
      </c>
      <c r="P24" s="1317">
        <f t="shared" si="16"/>
        <v>3081600</v>
      </c>
      <c r="Q24" s="1317">
        <f t="shared" si="17"/>
        <v>1080153</v>
      </c>
      <c r="R24" s="1318">
        <f>[1]Субсидия_факт!FI26</f>
        <v>0</v>
      </c>
      <c r="S24" s="1320"/>
      <c r="T24" s="1083">
        <f>[1]Субсидия_факт!FS26</f>
        <v>0</v>
      </c>
      <c r="U24" s="1383">
        <f>84018181-'Прочая  субсидия_МР  и  ГО'!AA24-'Проверочная  таблица'!AS28-'Проверочная  таблица'!BE28</f>
        <v>0</v>
      </c>
      <c r="V24" s="1317">
        <f t="shared" si="18"/>
        <v>0</v>
      </c>
      <c r="W24" s="1317">
        <f t="shared" si="19"/>
        <v>0</v>
      </c>
      <c r="X24" s="1318">
        <f>[1]Субсидия_факт!FU26</f>
        <v>0</v>
      </c>
      <c r="Y24" s="1320"/>
      <c r="Z24" s="1083">
        <f>[1]Субсидия_факт!GQ26</f>
        <v>0</v>
      </c>
      <c r="AA24" s="1084"/>
      <c r="AB24" s="1317">
        <f t="shared" si="20"/>
        <v>0</v>
      </c>
      <c r="AC24" s="1317">
        <f t="shared" si="21"/>
        <v>0</v>
      </c>
      <c r="AD24" s="1318">
        <f>[1]Субсидия_факт!GS26</f>
        <v>0</v>
      </c>
      <c r="AE24" s="1320"/>
      <c r="AF24" s="1083">
        <f>[1]Субсидия_факт!GY26</f>
        <v>180500</v>
      </c>
      <c r="AG24" s="1087">
        <f t="shared" si="2"/>
        <v>180500</v>
      </c>
      <c r="AH24" s="1317">
        <f t="shared" si="22"/>
        <v>180500</v>
      </c>
      <c r="AI24" s="1317">
        <f t="shared" si="23"/>
        <v>180500</v>
      </c>
      <c r="AJ24" s="1318">
        <f>[1]Субсидия_факт!HA26</f>
        <v>0</v>
      </c>
      <c r="AK24" s="1320"/>
      <c r="AL24" s="1083">
        <f>[1]Субсидия_факт!HK26</f>
        <v>190000</v>
      </c>
      <c r="AM24" s="1087">
        <f t="shared" si="54"/>
        <v>190000</v>
      </c>
      <c r="AN24" s="1317">
        <f t="shared" si="24"/>
        <v>190000</v>
      </c>
      <c r="AO24" s="1317">
        <f t="shared" si="25"/>
        <v>190000</v>
      </c>
      <c r="AP24" s="1318">
        <f>[1]Субсидия_факт!HM26</f>
        <v>0</v>
      </c>
      <c r="AQ24" s="1320"/>
      <c r="AR24" s="1083">
        <f>[1]Субсидия_факт!II26</f>
        <v>0</v>
      </c>
      <c r="AS24" s="1383">
        <f>0-'Прочая  субсидия_МР  и  ГО'!AI24</f>
        <v>0</v>
      </c>
      <c r="AT24" s="1317">
        <f t="shared" si="26"/>
        <v>0</v>
      </c>
      <c r="AU24" s="1317">
        <f t="shared" si="27"/>
        <v>0</v>
      </c>
      <c r="AV24" s="1318">
        <f>[1]Субсидия_факт!IK26</f>
        <v>0</v>
      </c>
      <c r="AW24" s="1320"/>
      <c r="AX24" s="1083">
        <f>[1]Субсидия_факт!IO26</f>
        <v>0</v>
      </c>
      <c r="AY24" s="1084"/>
      <c r="AZ24" s="1317">
        <f t="shared" si="28"/>
        <v>0</v>
      </c>
      <c r="BA24" s="1317">
        <f t="shared" si="29"/>
        <v>0</v>
      </c>
      <c r="BB24" s="1318">
        <f>[1]Субсидия_факт!IQ26</f>
        <v>0</v>
      </c>
      <c r="BC24" s="1320"/>
      <c r="BD24" s="1083">
        <f>[1]Субсидия_факт!MA26</f>
        <v>0</v>
      </c>
      <c r="BE24" s="1084"/>
      <c r="BF24" s="1317">
        <f t="shared" si="30"/>
        <v>0</v>
      </c>
      <c r="BG24" s="1317"/>
      <c r="BH24" s="1318">
        <f>[1]Субсидия_факт!MC26</f>
        <v>0</v>
      </c>
      <c r="BI24" s="1320"/>
      <c r="BJ24" s="1083">
        <f>[1]Субсидия_факт!MS26</f>
        <v>0</v>
      </c>
      <c r="BK24" s="1087">
        <f t="shared" si="3"/>
        <v>0</v>
      </c>
      <c r="BL24" s="1317">
        <f t="shared" si="31"/>
        <v>0</v>
      </c>
      <c r="BM24" s="1317">
        <f t="shared" si="32"/>
        <v>0</v>
      </c>
      <c r="BN24" s="1318">
        <f>[1]Субсидия_факт!MU26</f>
        <v>0</v>
      </c>
      <c r="BO24" s="1319">
        <f t="shared" si="33"/>
        <v>0</v>
      </c>
      <c r="BP24" s="1083">
        <f>[1]Субсидия_факт!NC26</f>
        <v>0</v>
      </c>
      <c r="BQ24" s="1087">
        <f t="shared" si="34"/>
        <v>0</v>
      </c>
      <c r="BR24" s="1317">
        <f t="shared" si="35"/>
        <v>0</v>
      </c>
      <c r="BS24" s="1317"/>
      <c r="BT24" s="1318">
        <f>[1]Субсидия_факт!NE26</f>
        <v>0</v>
      </c>
      <c r="BU24" s="1319">
        <f t="shared" si="36"/>
        <v>0</v>
      </c>
      <c r="BV24" s="1083">
        <f>[1]Субсидия_факт!NK26</f>
        <v>0</v>
      </c>
      <c r="BW24" s="1084"/>
      <c r="BX24" s="1317">
        <f t="shared" si="37"/>
        <v>0</v>
      </c>
      <c r="BY24" s="1317">
        <f t="shared" si="38"/>
        <v>0</v>
      </c>
      <c r="BZ24" s="1318">
        <f>[1]Субсидия_факт!NM26</f>
        <v>0</v>
      </c>
      <c r="CA24" s="1320"/>
      <c r="CB24" s="1083">
        <f>[1]Субсидия_факт!NQ26</f>
        <v>0</v>
      </c>
      <c r="CC24" s="1084"/>
      <c r="CD24" s="1317">
        <f t="shared" si="39"/>
        <v>0</v>
      </c>
      <c r="CE24" s="1317">
        <f t="shared" si="40"/>
        <v>0</v>
      </c>
      <c r="CF24" s="1318">
        <f>[1]Субсидия_факт!NS26</f>
        <v>0</v>
      </c>
      <c r="CG24" s="1320"/>
      <c r="CH24" s="1083">
        <f>[1]Субсидия_факт!NW26</f>
        <v>0</v>
      </c>
      <c r="CI24" s="1084"/>
      <c r="CJ24" s="1317">
        <f t="shared" si="41"/>
        <v>0</v>
      </c>
      <c r="CK24" s="1317">
        <f t="shared" si="42"/>
        <v>0</v>
      </c>
      <c r="CL24" s="1318">
        <f>[1]Субсидия_факт!NY26</f>
        <v>0</v>
      </c>
      <c r="CM24" s="1319">
        <f t="shared" si="43"/>
        <v>0</v>
      </c>
      <c r="CN24" s="1083">
        <f>[1]Субсидия_факт!OC26</f>
        <v>726716.40000000014</v>
      </c>
      <c r="CO24" s="1087">
        <f t="shared" si="44"/>
        <v>726716.40000000014</v>
      </c>
      <c r="CP24" s="1317">
        <f t="shared" si="45"/>
        <v>726716.40000000014</v>
      </c>
      <c r="CQ24" s="1317">
        <f t="shared" si="46"/>
        <v>726716.40000000014</v>
      </c>
      <c r="CR24" s="1318">
        <f>[1]Субсидия_факт!OE26</f>
        <v>0</v>
      </c>
      <c r="CS24" s="1319">
        <f t="shared" si="47"/>
        <v>0</v>
      </c>
      <c r="CT24" s="1083">
        <f>[1]Субсидия_факт!PM26</f>
        <v>18605046</v>
      </c>
      <c r="CU24" s="1084">
        <v>9384819</v>
      </c>
      <c r="CV24" s="1317">
        <f t="shared" si="48"/>
        <v>18605046</v>
      </c>
      <c r="CW24" s="1317">
        <f t="shared" si="49"/>
        <v>9384819</v>
      </c>
      <c r="CX24" s="1318">
        <f>[1]Субсидия_факт!PO26</f>
        <v>0</v>
      </c>
      <c r="CY24" s="1320"/>
      <c r="CZ24" s="1083">
        <f>[1]Субсидия_факт!PS26</f>
        <v>798904.41</v>
      </c>
      <c r="DA24" s="1087">
        <f t="shared" si="53"/>
        <v>798904.41</v>
      </c>
      <c r="DB24" s="1317">
        <f t="shared" si="50"/>
        <v>798904.41</v>
      </c>
      <c r="DC24" s="1317">
        <f t="shared" si="51"/>
        <v>798904.41</v>
      </c>
      <c r="DD24" s="1318">
        <f>[1]Субсидия_факт!PU26</f>
        <v>0</v>
      </c>
      <c r="DE24" s="1319">
        <f t="shared" si="5"/>
        <v>0</v>
      </c>
    </row>
    <row r="25" spans="1:109" s="1321" customFormat="1" ht="21" customHeight="1" x14ac:dyDescent="0.3">
      <c r="A25" s="1336" t="s">
        <v>105</v>
      </c>
      <c r="B25" s="1315">
        <f t="shared" ref="B25" si="55">BJ25+N25+H25+CN25+CT25+T25+AF25+BV25+CB25+AR25+AX25+CH25+CZ25+Z25+BD25+BP25+AL25</f>
        <v>36762772.200000003</v>
      </c>
      <c r="C25" s="1315">
        <f t="shared" ref="C25" si="56">BK25+O25+I25+CO25+CU25+U25+AG25+BW25+CC25+AS25+AY25+CI25+DA25+AA25+BE25+BQ25+AM25</f>
        <v>30655507.900000002</v>
      </c>
      <c r="D25" s="1316">
        <f t="shared" ref="D25" si="57">BL25+P25+J25+CP25+CV25+V25+AH25+BX25+CD25+AT25+AZ25+CJ25+DB25+AB25+BF25+BR25+AN25</f>
        <v>16839616.949999999</v>
      </c>
      <c r="E25" s="1316">
        <f t="shared" ref="E25" si="58">BM25+Q25+K25+CQ25+CW25+W25+AI25+BY25+CE25+AU25+BA25+CK25+DC25+AC25+BG25+BS25+AO25</f>
        <v>11639489.309999999</v>
      </c>
      <c r="F25" s="1316">
        <f t="shared" ref="F25" si="59">BN25+R25+L25+CR25+CX25+X25+AJ25+BZ25+CF25+AV25+BB25+CL25+DD25+AD25+BH25+BT25+AP25</f>
        <v>19923155.25</v>
      </c>
      <c r="G25" s="1316">
        <f t="shared" ref="G25" si="60">BO25+S25+M25+CS25+CY25+Y25+AK25+CA25+CG25+AW25+BC25+CM25+DE25+AE25+BI25+BU25+AQ25</f>
        <v>19016018.590000004</v>
      </c>
      <c r="H25" s="1083">
        <f>[1]Субсидия_факт!CK27</f>
        <v>0</v>
      </c>
      <c r="I25" s="1087">
        <f t="shared" si="1"/>
        <v>0</v>
      </c>
      <c r="J25" s="1317">
        <f t="shared" si="12"/>
        <v>0</v>
      </c>
      <c r="K25" s="1317">
        <f t="shared" si="13"/>
        <v>0</v>
      </c>
      <c r="L25" s="1318">
        <f>[1]Субсидия_факт!CM27</f>
        <v>0</v>
      </c>
      <c r="M25" s="1319">
        <f t="shared" si="14"/>
        <v>0</v>
      </c>
      <c r="N25" s="1083">
        <f>[1]Субсидия_факт!FG27</f>
        <v>900000</v>
      </c>
      <c r="O25" s="1084">
        <v>0</v>
      </c>
      <c r="P25" s="1317">
        <f t="shared" si="16"/>
        <v>0</v>
      </c>
      <c r="Q25" s="1317">
        <f t="shared" si="17"/>
        <v>0</v>
      </c>
      <c r="R25" s="1318">
        <f>[1]Субсидия_факт!FI27</f>
        <v>900000</v>
      </c>
      <c r="S25" s="1320"/>
      <c r="T25" s="1083">
        <f>[1]Субсидия_факт!FS27</f>
        <v>4990716</v>
      </c>
      <c r="U25" s="1383">
        <f>4990716-'Прочая  субсидия_МР  и  ГО'!AA25-'Проверочная  таблица'!AS29-'Проверочная  таблица'!BE29</f>
        <v>4990716</v>
      </c>
      <c r="V25" s="1317">
        <f t="shared" si="18"/>
        <v>4990716</v>
      </c>
      <c r="W25" s="1317">
        <f t="shared" si="19"/>
        <v>4990716</v>
      </c>
      <c r="X25" s="1318">
        <f>[1]Субсидия_факт!FU27</f>
        <v>0</v>
      </c>
      <c r="Y25" s="1320"/>
      <c r="Z25" s="1083">
        <f>[1]Субсидия_факт!GQ27</f>
        <v>0</v>
      </c>
      <c r="AA25" s="1084"/>
      <c r="AB25" s="1317">
        <f t="shared" si="20"/>
        <v>0</v>
      </c>
      <c r="AC25" s="1317">
        <f t="shared" si="21"/>
        <v>0</v>
      </c>
      <c r="AD25" s="1318">
        <f>[1]Субсидия_факт!GS27</f>
        <v>0</v>
      </c>
      <c r="AE25" s="1320"/>
      <c r="AF25" s="1083">
        <f>[1]Субсидия_факт!GY27</f>
        <v>188001</v>
      </c>
      <c r="AG25" s="1087">
        <f t="shared" si="2"/>
        <v>188001</v>
      </c>
      <c r="AH25" s="1317">
        <f t="shared" si="22"/>
        <v>188001</v>
      </c>
      <c r="AI25" s="1317">
        <f t="shared" si="23"/>
        <v>188001</v>
      </c>
      <c r="AJ25" s="1318">
        <f>[1]Субсидия_факт!HA27</f>
        <v>0</v>
      </c>
      <c r="AK25" s="1320"/>
      <c r="AL25" s="1083">
        <f>[1]Субсидия_факт!HK27</f>
        <v>0</v>
      </c>
      <c r="AM25" s="1084"/>
      <c r="AN25" s="1317">
        <f t="shared" si="24"/>
        <v>0</v>
      </c>
      <c r="AO25" s="1317">
        <f t="shared" si="25"/>
        <v>0</v>
      </c>
      <c r="AP25" s="1318">
        <f>[1]Субсидия_факт!HM27</f>
        <v>0</v>
      </c>
      <c r="AQ25" s="1320"/>
      <c r="AR25" s="1083">
        <f>[1]Субсидия_факт!II27</f>
        <v>8496633</v>
      </c>
      <c r="AS25" s="1383">
        <f>8568181.36-'Прочая  субсидия_МР  и  ГО'!AI25</f>
        <v>8378181.3599999994</v>
      </c>
      <c r="AT25" s="1317">
        <f t="shared" si="26"/>
        <v>1691251</v>
      </c>
      <c r="AU25" s="1317">
        <f t="shared" si="27"/>
        <v>1572799.3599999994</v>
      </c>
      <c r="AV25" s="1318">
        <f>[1]Субсидия_факт!IK27</f>
        <v>6805382</v>
      </c>
      <c r="AW25" s="1319">
        <f>AV25</f>
        <v>6805382</v>
      </c>
      <c r="AX25" s="1083">
        <f>[1]Субсидия_факт!IO27</f>
        <v>0</v>
      </c>
      <c r="AY25" s="1084"/>
      <c r="AZ25" s="1317">
        <f t="shared" si="28"/>
        <v>0</v>
      </c>
      <c r="BA25" s="1317">
        <f t="shared" si="29"/>
        <v>0</v>
      </c>
      <c r="BB25" s="1318">
        <f>[1]Субсидия_факт!IQ27</f>
        <v>0</v>
      </c>
      <c r="BC25" s="1320"/>
      <c r="BD25" s="1083">
        <f>[1]Субсидия_факт!MA27</f>
        <v>0</v>
      </c>
      <c r="BE25" s="1084"/>
      <c r="BF25" s="1317">
        <f t="shared" si="30"/>
        <v>0</v>
      </c>
      <c r="BG25" s="1317"/>
      <c r="BH25" s="1318">
        <f>[1]Субсидия_факт!MC27</f>
        <v>0</v>
      </c>
      <c r="BI25" s="1320"/>
      <c r="BJ25" s="1083">
        <f>[1]Субсидия_факт!MS27</f>
        <v>0</v>
      </c>
      <c r="BK25" s="1087">
        <f t="shared" si="3"/>
        <v>0</v>
      </c>
      <c r="BL25" s="1317">
        <f t="shared" si="31"/>
        <v>0</v>
      </c>
      <c r="BM25" s="1317">
        <f t="shared" si="32"/>
        <v>0</v>
      </c>
      <c r="BN25" s="1318">
        <f>[1]Субсидия_факт!MU27</f>
        <v>0</v>
      </c>
      <c r="BO25" s="1319">
        <f t="shared" si="33"/>
        <v>0</v>
      </c>
      <c r="BP25" s="1083">
        <f>[1]Субсидия_факт!NC27</f>
        <v>0</v>
      </c>
      <c r="BQ25" s="1087">
        <f t="shared" si="34"/>
        <v>0</v>
      </c>
      <c r="BR25" s="1317">
        <f t="shared" si="35"/>
        <v>0</v>
      </c>
      <c r="BS25" s="1317"/>
      <c r="BT25" s="1318">
        <f>[1]Субсидия_факт!NE27</f>
        <v>0</v>
      </c>
      <c r="BU25" s="1319">
        <f t="shared" si="36"/>
        <v>0</v>
      </c>
      <c r="BV25" s="1083">
        <f>[1]Субсидия_факт!NK27</f>
        <v>0</v>
      </c>
      <c r="BW25" s="1084"/>
      <c r="BX25" s="1317">
        <f t="shared" si="37"/>
        <v>0</v>
      </c>
      <c r="BY25" s="1317">
        <f t="shared" si="38"/>
        <v>0</v>
      </c>
      <c r="BZ25" s="1318">
        <f>[1]Субсидия_факт!NM27</f>
        <v>0</v>
      </c>
      <c r="CA25" s="1320"/>
      <c r="CB25" s="1083">
        <f>[1]Субсидия_факт!NQ27</f>
        <v>0</v>
      </c>
      <c r="CC25" s="1084"/>
      <c r="CD25" s="1317">
        <f t="shared" si="39"/>
        <v>0</v>
      </c>
      <c r="CE25" s="1317">
        <f t="shared" si="40"/>
        <v>0</v>
      </c>
      <c r="CF25" s="1318">
        <f>[1]Субсидия_факт!NS27</f>
        <v>0</v>
      </c>
      <c r="CG25" s="1320"/>
      <c r="CH25" s="1083">
        <f>[1]Субсидия_факт!NW27</f>
        <v>2480000</v>
      </c>
      <c r="CI25" s="1084">
        <v>2472863.34</v>
      </c>
      <c r="CJ25" s="1317">
        <f t="shared" si="41"/>
        <v>0</v>
      </c>
      <c r="CK25" s="1317">
        <f t="shared" si="42"/>
        <v>0</v>
      </c>
      <c r="CL25" s="1318">
        <f>[1]Субсидия_факт!NY27</f>
        <v>2480000</v>
      </c>
      <c r="CM25" s="1319">
        <f t="shared" si="43"/>
        <v>2472863.34</v>
      </c>
      <c r="CN25" s="1083">
        <f>[1]Субсидия_факт!OC27</f>
        <v>494285.55999999994</v>
      </c>
      <c r="CO25" s="1087">
        <f t="shared" si="44"/>
        <v>494285.55999999994</v>
      </c>
      <c r="CP25" s="1317">
        <f t="shared" si="45"/>
        <v>359671.58999999997</v>
      </c>
      <c r="CQ25" s="1317">
        <f t="shared" si="46"/>
        <v>359671.58999999997</v>
      </c>
      <c r="CR25" s="1318">
        <f>[1]Субсидия_факт!OE27</f>
        <v>134613.97</v>
      </c>
      <c r="CS25" s="1319">
        <f t="shared" si="47"/>
        <v>134613.97</v>
      </c>
      <c r="CT25" s="1083">
        <f>[1]Субсидия_факт!PM27</f>
        <v>16299118</v>
      </c>
      <c r="CU25" s="1084">
        <v>11217442</v>
      </c>
      <c r="CV25" s="1317">
        <f t="shared" si="48"/>
        <v>6981467</v>
      </c>
      <c r="CW25" s="1317">
        <f t="shared" si="49"/>
        <v>1899791</v>
      </c>
      <c r="CX25" s="1318">
        <f>[1]Субсидия_факт!PO27</f>
        <v>9317651</v>
      </c>
      <c r="CY25" s="1319">
        <f>CX25</f>
        <v>9317651</v>
      </c>
      <c r="CZ25" s="1083">
        <f>[1]Субсидия_факт!PS27</f>
        <v>2914018.64</v>
      </c>
      <c r="DA25" s="1087">
        <f t="shared" si="53"/>
        <v>2914018.64</v>
      </c>
      <c r="DB25" s="1317">
        <f t="shared" si="50"/>
        <v>2628510.3600000003</v>
      </c>
      <c r="DC25" s="1317">
        <f t="shared" si="51"/>
        <v>2628510.3600000003</v>
      </c>
      <c r="DD25" s="1318">
        <f>[1]Субсидия_факт!PU27</f>
        <v>285508.28000000003</v>
      </c>
      <c r="DE25" s="1319">
        <f t="shared" si="5"/>
        <v>285508.28000000003</v>
      </c>
    </row>
    <row r="26" spans="1:109" s="1324" customFormat="1" ht="21" customHeight="1" x14ac:dyDescent="0.3">
      <c r="A26" s="1335" t="s">
        <v>113</v>
      </c>
      <c r="B26" s="1088">
        <f t="shared" ref="B26:M26" si="61">SUM(B8:B25)</f>
        <v>979171243.55000019</v>
      </c>
      <c r="C26" s="1088">
        <f t="shared" si="61"/>
        <v>684133965.33000004</v>
      </c>
      <c r="D26" s="1322">
        <f t="shared" si="61"/>
        <v>724397080.78999996</v>
      </c>
      <c r="E26" s="1322">
        <f t="shared" si="61"/>
        <v>477061925.49999994</v>
      </c>
      <c r="F26" s="1322">
        <f t="shared" si="61"/>
        <v>254774162.75999999</v>
      </c>
      <c r="G26" s="1322">
        <f t="shared" si="61"/>
        <v>215033693.54999998</v>
      </c>
      <c r="H26" s="1088">
        <f t="shared" si="61"/>
        <v>56006.05</v>
      </c>
      <c r="I26" s="1085">
        <f t="shared" si="61"/>
        <v>56006.05</v>
      </c>
      <c r="J26" s="1323">
        <f t="shared" si="61"/>
        <v>40569.4</v>
      </c>
      <c r="K26" s="1323">
        <f t="shared" si="61"/>
        <v>40569.4</v>
      </c>
      <c r="L26" s="1323">
        <f t="shared" si="61"/>
        <v>15436.650000000001</v>
      </c>
      <c r="M26" s="1323">
        <f t="shared" si="61"/>
        <v>15436.650000000001</v>
      </c>
      <c r="N26" s="1088">
        <f t="shared" ref="N26:Y26" si="62">SUM(N8:N25)</f>
        <v>29197274</v>
      </c>
      <c r="O26" s="1085">
        <f t="shared" si="62"/>
        <v>20270095</v>
      </c>
      <c r="P26" s="1323">
        <f t="shared" si="62"/>
        <v>27607181</v>
      </c>
      <c r="Q26" s="1323">
        <f t="shared" si="62"/>
        <v>19895002</v>
      </c>
      <c r="R26" s="1323">
        <f t="shared" si="62"/>
        <v>1590093</v>
      </c>
      <c r="S26" s="1323">
        <f t="shared" si="62"/>
        <v>375093</v>
      </c>
      <c r="T26" s="1088">
        <f t="shared" si="62"/>
        <v>178238296.5</v>
      </c>
      <c r="U26" s="1085">
        <f t="shared" si="62"/>
        <v>142909719</v>
      </c>
      <c r="V26" s="1323">
        <f t="shared" si="62"/>
        <v>135544978</v>
      </c>
      <c r="W26" s="1323">
        <f t="shared" si="62"/>
        <v>105569590</v>
      </c>
      <c r="X26" s="1323">
        <f t="shared" si="62"/>
        <v>42693318.5</v>
      </c>
      <c r="Y26" s="1323">
        <f t="shared" si="62"/>
        <v>37340129</v>
      </c>
      <c r="Z26" s="1088">
        <f t="shared" ref="Z26:AE26" si="63">SUM(Z8:Z25)</f>
        <v>0</v>
      </c>
      <c r="AA26" s="1085">
        <f t="shared" si="63"/>
        <v>0</v>
      </c>
      <c r="AB26" s="1323">
        <f t="shared" si="63"/>
        <v>0</v>
      </c>
      <c r="AC26" s="1323">
        <f t="shared" si="63"/>
        <v>0</v>
      </c>
      <c r="AD26" s="1323">
        <f t="shared" si="63"/>
        <v>0</v>
      </c>
      <c r="AE26" s="1323">
        <f t="shared" si="63"/>
        <v>0</v>
      </c>
      <c r="AF26" s="1088">
        <f t="shared" ref="AF26:AK26" si="64">SUM(AF8:AF25)</f>
        <v>5736241.2999999998</v>
      </c>
      <c r="AG26" s="1085">
        <f t="shared" si="64"/>
        <v>5736241.2999999998</v>
      </c>
      <c r="AH26" s="1323">
        <f t="shared" si="64"/>
        <v>5245878.7699999996</v>
      </c>
      <c r="AI26" s="1323">
        <f t="shared" si="64"/>
        <v>5245878.7699999996</v>
      </c>
      <c r="AJ26" s="1323">
        <f t="shared" si="64"/>
        <v>490362.53</v>
      </c>
      <c r="AK26" s="1323">
        <f t="shared" si="64"/>
        <v>490362.53</v>
      </c>
      <c r="AL26" s="1085">
        <f>SUM(AL8:AL25)</f>
        <v>920000</v>
      </c>
      <c r="AM26" s="1085">
        <f>SUM(AM8:AM25)</f>
        <v>920000</v>
      </c>
      <c r="AN26" s="1323">
        <f t="shared" ref="AN26:AQ26" si="65">SUM(AN8:AN25)</f>
        <v>570000</v>
      </c>
      <c r="AO26" s="1323">
        <f t="shared" si="65"/>
        <v>570000</v>
      </c>
      <c r="AP26" s="1323">
        <f t="shared" si="65"/>
        <v>350000</v>
      </c>
      <c r="AQ26" s="1323">
        <f t="shared" si="65"/>
        <v>350000</v>
      </c>
      <c r="AR26" s="1088">
        <f t="shared" ref="AR26:AW26" si="66">SUM(AR8:AR25)</f>
        <v>105740231.55</v>
      </c>
      <c r="AS26" s="1085">
        <f t="shared" si="66"/>
        <v>33437040.509999998</v>
      </c>
      <c r="AT26" s="1323">
        <f t="shared" si="66"/>
        <v>86613117.659999996</v>
      </c>
      <c r="AU26" s="1323">
        <f t="shared" si="66"/>
        <v>22101377.669999998</v>
      </c>
      <c r="AV26" s="1323">
        <f t="shared" si="66"/>
        <v>19127113.890000001</v>
      </c>
      <c r="AW26" s="1323">
        <f t="shared" si="66"/>
        <v>11335662.84</v>
      </c>
      <c r="AX26" s="1088">
        <f t="shared" ref="AX26:BI26" si="67">SUM(AX8:AX25)</f>
        <v>0</v>
      </c>
      <c r="AY26" s="1085">
        <f t="shared" si="67"/>
        <v>0</v>
      </c>
      <c r="AZ26" s="1323">
        <f t="shared" si="67"/>
        <v>0</v>
      </c>
      <c r="BA26" s="1323">
        <f t="shared" si="67"/>
        <v>0</v>
      </c>
      <c r="BB26" s="1323">
        <f t="shared" si="67"/>
        <v>0</v>
      </c>
      <c r="BC26" s="1323">
        <f t="shared" si="67"/>
        <v>0</v>
      </c>
      <c r="BD26" s="1088">
        <f t="shared" si="67"/>
        <v>35596207</v>
      </c>
      <c r="BE26" s="1085">
        <f t="shared" si="67"/>
        <v>27634553.280000001</v>
      </c>
      <c r="BF26" s="1323">
        <f t="shared" si="67"/>
        <v>0</v>
      </c>
      <c r="BG26" s="1323">
        <f t="shared" si="67"/>
        <v>0</v>
      </c>
      <c r="BH26" s="1323">
        <f t="shared" si="67"/>
        <v>35596207</v>
      </c>
      <c r="BI26" s="1323">
        <f t="shared" si="67"/>
        <v>35596207</v>
      </c>
      <c r="BJ26" s="1088">
        <f t="shared" ref="BJ26:BO26" si="68">SUM(BJ8:BJ25)</f>
        <v>2109517</v>
      </c>
      <c r="BK26" s="1085">
        <f t="shared" si="68"/>
        <v>2109517</v>
      </c>
      <c r="BL26" s="1323">
        <f t="shared" si="68"/>
        <v>0</v>
      </c>
      <c r="BM26" s="1323">
        <f t="shared" si="68"/>
        <v>0</v>
      </c>
      <c r="BN26" s="1323">
        <f t="shared" si="68"/>
        <v>2109517</v>
      </c>
      <c r="BO26" s="1323">
        <f t="shared" si="68"/>
        <v>2109517</v>
      </c>
      <c r="BP26" s="1088">
        <f t="shared" ref="BP26:BU26" si="69">SUM(BP8:BP25)</f>
        <v>24444000</v>
      </c>
      <c r="BQ26" s="1085">
        <f t="shared" si="69"/>
        <v>24174000</v>
      </c>
      <c r="BR26" s="1323">
        <f t="shared" si="69"/>
        <v>0</v>
      </c>
      <c r="BS26" s="1323">
        <f t="shared" si="69"/>
        <v>0</v>
      </c>
      <c r="BT26" s="1323">
        <f t="shared" si="69"/>
        <v>24444000</v>
      </c>
      <c r="BU26" s="1323">
        <f t="shared" si="69"/>
        <v>24174000</v>
      </c>
      <c r="BV26" s="1085">
        <f t="shared" ref="BV26:CM26" si="70">SUM(BV8:BV25)</f>
        <v>638574.30000000005</v>
      </c>
      <c r="BW26" s="1085">
        <f t="shared" si="70"/>
        <v>0</v>
      </c>
      <c r="BX26" s="1323">
        <f t="shared" si="70"/>
        <v>638574.30000000005</v>
      </c>
      <c r="BY26" s="1323">
        <f t="shared" si="70"/>
        <v>0</v>
      </c>
      <c r="BZ26" s="1323">
        <f t="shared" si="70"/>
        <v>0</v>
      </c>
      <c r="CA26" s="1323">
        <f t="shared" si="70"/>
        <v>0</v>
      </c>
      <c r="CB26" s="1085">
        <f t="shared" si="70"/>
        <v>2494479</v>
      </c>
      <c r="CC26" s="1085">
        <f t="shared" si="70"/>
        <v>2494479</v>
      </c>
      <c r="CD26" s="1323">
        <f t="shared" si="70"/>
        <v>2494479</v>
      </c>
      <c r="CE26" s="1323">
        <f t="shared" si="70"/>
        <v>2494479</v>
      </c>
      <c r="CF26" s="1323">
        <f t="shared" si="70"/>
        <v>0</v>
      </c>
      <c r="CG26" s="1323">
        <f t="shared" si="70"/>
        <v>0</v>
      </c>
      <c r="CH26" s="1088">
        <f t="shared" si="70"/>
        <v>19587200</v>
      </c>
      <c r="CI26" s="1085">
        <f t="shared" si="70"/>
        <v>19202767.34</v>
      </c>
      <c r="CJ26" s="1323">
        <f t="shared" si="70"/>
        <v>0</v>
      </c>
      <c r="CK26" s="1323">
        <f t="shared" si="70"/>
        <v>0</v>
      </c>
      <c r="CL26" s="1323">
        <f t="shared" si="70"/>
        <v>19587200</v>
      </c>
      <c r="CM26" s="1323">
        <f t="shared" si="70"/>
        <v>19202767.34</v>
      </c>
      <c r="CN26" s="1088">
        <f t="shared" ref="CN26:CS26" si="71">SUM(CN8:CN25)</f>
        <v>9093236.6300000008</v>
      </c>
      <c r="CO26" s="1085">
        <f t="shared" si="71"/>
        <v>9093236.6300000008</v>
      </c>
      <c r="CP26" s="1323">
        <f t="shared" si="71"/>
        <v>8361786.46</v>
      </c>
      <c r="CQ26" s="1323">
        <f t="shared" si="71"/>
        <v>8361786.46</v>
      </c>
      <c r="CR26" s="1323">
        <f t="shared" si="71"/>
        <v>731450.16999999993</v>
      </c>
      <c r="CS26" s="1323">
        <f t="shared" si="71"/>
        <v>731450.16999999993</v>
      </c>
      <c r="CT26" s="1088">
        <f t="shared" ref="CT26:CY26" si="72">SUM(CT8:CT25)</f>
        <v>513127340</v>
      </c>
      <c r="CU26" s="1085">
        <f t="shared" si="72"/>
        <v>343903670</v>
      </c>
      <c r="CV26" s="1323">
        <f t="shared" si="72"/>
        <v>407769306</v>
      </c>
      <c r="CW26" s="1323">
        <f t="shared" si="72"/>
        <v>263272032</v>
      </c>
      <c r="CX26" s="1323">
        <f t="shared" si="72"/>
        <v>105358034</v>
      </c>
      <c r="CY26" s="1323">
        <f t="shared" si="72"/>
        <v>80631638</v>
      </c>
      <c r="CZ26" s="1088">
        <f t="shared" ref="CZ26:DE26" si="73">SUM(CZ8:CZ25)</f>
        <v>52192640.219999999</v>
      </c>
      <c r="DA26" s="1085">
        <f t="shared" si="73"/>
        <v>52192640.219999999</v>
      </c>
      <c r="DB26" s="1323">
        <f t="shared" si="73"/>
        <v>49511210.199999988</v>
      </c>
      <c r="DC26" s="1323">
        <f t="shared" si="73"/>
        <v>49511210.199999988</v>
      </c>
      <c r="DD26" s="1323">
        <f t="shared" si="73"/>
        <v>2681430.0200000005</v>
      </c>
      <c r="DE26" s="1323">
        <f t="shared" si="73"/>
        <v>2681430.0200000005</v>
      </c>
    </row>
    <row r="27" spans="1:109" s="1321" customFormat="1" ht="21" customHeight="1" x14ac:dyDescent="0.3">
      <c r="A27" s="1325"/>
      <c r="B27" s="1326"/>
      <c r="C27" s="1326"/>
      <c r="D27" s="1327"/>
      <c r="E27" s="1327"/>
      <c r="F27" s="1327"/>
      <c r="G27" s="1327"/>
      <c r="H27" s="1327"/>
      <c r="I27" s="1327"/>
      <c r="J27" s="1327"/>
      <c r="K27" s="1327"/>
      <c r="L27" s="1327"/>
      <c r="M27" s="1327"/>
      <c r="N27" s="1327"/>
      <c r="O27" s="1327"/>
      <c r="P27" s="1327"/>
      <c r="Q27" s="1327"/>
      <c r="R27" s="1327"/>
      <c r="S27" s="1327"/>
      <c r="T27" s="1327"/>
      <c r="U27" s="1327"/>
      <c r="V27" s="1327"/>
      <c r="W27" s="1327"/>
      <c r="X27" s="1327"/>
      <c r="Y27" s="1327"/>
      <c r="Z27" s="1327"/>
      <c r="AA27" s="1327"/>
      <c r="AB27" s="1327"/>
      <c r="AC27" s="1327"/>
      <c r="AD27" s="1327"/>
      <c r="AE27" s="1327"/>
      <c r="AF27" s="1327"/>
      <c r="AG27" s="1328"/>
      <c r="AH27" s="1328"/>
      <c r="AI27" s="1328"/>
      <c r="AJ27" s="1328"/>
      <c r="AK27" s="1328"/>
      <c r="AL27" s="1328"/>
      <c r="AM27" s="1090">
        <v>920000</v>
      </c>
      <c r="AN27" s="1328"/>
      <c r="AO27" s="1329"/>
      <c r="AP27" s="1329"/>
      <c r="AQ27" s="1329"/>
      <c r="AR27" s="1328"/>
      <c r="AS27" s="1328"/>
      <c r="AT27" s="1328"/>
      <c r="AU27" s="1328"/>
      <c r="AV27" s="1328"/>
      <c r="AW27" s="1328"/>
      <c r="AX27" s="1328"/>
      <c r="AY27" s="1328"/>
      <c r="AZ27" s="1328"/>
      <c r="BA27" s="1328"/>
      <c r="BB27" s="1328"/>
      <c r="BC27" s="1328"/>
      <c r="BD27" s="1328"/>
      <c r="BE27" s="1328"/>
      <c r="BF27" s="1328"/>
      <c r="BG27" s="1328"/>
      <c r="BH27" s="1328"/>
      <c r="BI27" s="1328"/>
      <c r="BJ27" s="1327"/>
      <c r="BK27" s="1327"/>
      <c r="BL27" s="1327"/>
      <c r="BM27" s="1327"/>
      <c r="BN27" s="1327"/>
      <c r="BO27" s="1327"/>
      <c r="BP27" s="1327"/>
      <c r="BQ27" s="1327"/>
      <c r="BR27" s="1327"/>
      <c r="BS27" s="1327"/>
      <c r="BT27" s="1327"/>
      <c r="BU27" s="1327"/>
      <c r="BV27" s="1327"/>
      <c r="BW27" s="1327"/>
      <c r="BX27" s="1330"/>
      <c r="BY27" s="1330"/>
      <c r="BZ27" s="1330"/>
      <c r="CA27" s="1330"/>
      <c r="CB27" s="1330"/>
      <c r="CC27" s="1330"/>
      <c r="CD27" s="1330"/>
      <c r="CE27" s="1330"/>
      <c r="CF27" s="1330"/>
      <c r="CG27" s="1330"/>
      <c r="CH27" s="1330"/>
      <c r="CI27" s="1330"/>
      <c r="CJ27" s="1330"/>
      <c r="CK27" s="1330"/>
      <c r="CL27" s="1330"/>
      <c r="CM27" s="1330"/>
      <c r="CN27" s="1327"/>
      <c r="CO27" s="1327"/>
      <c r="CP27" s="1327"/>
      <c r="CQ27" s="1327"/>
      <c r="CR27" s="1327"/>
      <c r="CS27" s="1327"/>
      <c r="CT27" s="1327"/>
      <c r="CU27" s="1327"/>
      <c r="CV27" s="1327"/>
      <c r="CW27" s="1327"/>
      <c r="CX27" s="1327"/>
      <c r="CY27" s="1327"/>
    </row>
    <row r="28" spans="1:109" s="1321" customFormat="1" ht="21" customHeight="1" x14ac:dyDescent="0.3">
      <c r="A28" s="1325"/>
      <c r="B28" s="1327"/>
      <c r="C28" s="1327"/>
      <c r="D28" s="1327"/>
      <c r="E28" s="1327"/>
      <c r="F28" s="1327"/>
      <c r="G28" s="1327"/>
      <c r="H28" s="1327"/>
      <c r="I28" s="1327"/>
      <c r="J28" s="1327"/>
      <c r="K28" s="1327"/>
      <c r="L28" s="1327"/>
      <c r="M28" s="1327"/>
      <c r="N28" s="1327"/>
      <c r="O28" s="1327"/>
      <c r="P28" s="1327"/>
      <c r="Q28" s="1327"/>
      <c r="R28" s="1327"/>
      <c r="S28" s="1327"/>
      <c r="T28" s="1327"/>
      <c r="U28" s="1327"/>
      <c r="V28" s="1327"/>
      <c r="W28" s="1327"/>
      <c r="X28" s="1327"/>
      <c r="Y28" s="1327"/>
      <c r="Z28" s="1327"/>
      <c r="AA28" s="1327"/>
      <c r="AB28" s="1327"/>
      <c r="AC28" s="1327"/>
      <c r="AD28" s="1327"/>
      <c r="AE28" s="1327"/>
      <c r="AF28" s="1327"/>
      <c r="AG28" s="1328"/>
      <c r="AH28" s="1328"/>
      <c r="AI28" s="1328"/>
      <c r="AJ28" s="1328"/>
      <c r="AK28" s="1328"/>
      <c r="AL28" s="1328"/>
      <c r="AM28" s="1328">
        <f>AM27-AM26</f>
        <v>0</v>
      </c>
      <c r="AN28" s="1328"/>
      <c r="AO28" s="1331"/>
      <c r="AP28" s="1331"/>
      <c r="AQ28" s="1331"/>
      <c r="AR28" s="1328"/>
      <c r="AS28" s="1328"/>
      <c r="AT28" s="1328"/>
      <c r="AU28" s="1328"/>
      <c r="AV28" s="1328"/>
      <c r="AW28" s="1328"/>
      <c r="AX28" s="1328"/>
      <c r="AY28" s="1328"/>
      <c r="AZ28" s="1328"/>
      <c r="BA28" s="1328"/>
      <c r="BB28" s="1328"/>
      <c r="BC28" s="1328"/>
      <c r="BD28" s="1328"/>
      <c r="BE28" s="1328"/>
      <c r="BF28" s="1328"/>
      <c r="BG28" s="1328"/>
      <c r="BH28" s="1328"/>
      <c r="BI28" s="1328"/>
      <c r="BJ28" s="1327"/>
      <c r="BK28" s="1327"/>
      <c r="BL28" s="1327"/>
      <c r="BM28" s="1327"/>
      <c r="BN28" s="1327"/>
      <c r="BO28" s="1327"/>
      <c r="BP28" s="1327"/>
      <c r="BQ28" s="1327"/>
      <c r="BR28" s="1327"/>
      <c r="BS28" s="1327"/>
      <c r="BT28" s="1327"/>
      <c r="BU28" s="1327"/>
      <c r="BV28" s="1327"/>
      <c r="BW28" s="1327"/>
      <c r="BX28" s="1332"/>
      <c r="BY28" s="1332"/>
      <c r="BZ28" s="1332"/>
      <c r="CA28" s="1332"/>
      <c r="CB28" s="1332"/>
      <c r="CC28" s="1332"/>
      <c r="CD28" s="1332"/>
      <c r="CE28" s="1332"/>
      <c r="CF28" s="1332"/>
      <c r="CG28" s="1332"/>
      <c r="CH28" s="1332"/>
      <c r="CI28" s="1332"/>
      <c r="CJ28" s="1332"/>
      <c r="CK28" s="1332"/>
      <c r="CL28" s="1332"/>
      <c r="CM28" s="1332"/>
      <c r="CN28" s="1327"/>
      <c r="CO28" s="1327"/>
      <c r="CP28" s="1327"/>
      <c r="CQ28" s="1327"/>
      <c r="CR28" s="1327"/>
      <c r="CS28" s="1327"/>
      <c r="CT28" s="1327"/>
      <c r="CU28" s="1327"/>
      <c r="CV28" s="1327"/>
      <c r="CW28" s="1327"/>
      <c r="CX28" s="1327"/>
      <c r="CY28" s="1327"/>
    </row>
    <row r="29" spans="1:109" s="1321" customFormat="1" ht="21" customHeight="1" x14ac:dyDescent="0.3">
      <c r="A29" s="1314" t="s">
        <v>144</v>
      </c>
      <c r="B29" s="1315">
        <f t="shared" ref="B29" si="74">BJ29+N29+H29+CN29+CT29+T29+AF29+BV29+CB29+AR29+AX29+CH29+CZ29+Z29+BD29+BP29+AL29</f>
        <v>60040207</v>
      </c>
      <c r="C29" s="1315">
        <f t="shared" ref="C29" si="75">BK29+O29+I29+CO29+CU29+U29+AG29+BW29+CC29+AS29+AY29+CI29+DA29+AA29+BE29+BQ29+AM29</f>
        <v>51808553.280000001</v>
      </c>
      <c r="D29" s="1333">
        <f t="shared" ref="D29" si="76">BL29+P29+J29+CP29+CV29+V29+AH29+BX29+CD29+AT29+AZ29+CJ29+DB29+AB29+BF29+BR29+AN29</f>
        <v>0</v>
      </c>
      <c r="E29" s="1333">
        <f t="shared" ref="E29" si="77">BM29+Q29+K29+CQ29+CW29+W29+AI29+BY29+CE29+AU29+BA29+CK29+DC29+AC29+BG29+BS29+AO29</f>
        <v>0</v>
      </c>
      <c r="F29" s="1333">
        <f t="shared" ref="F29" si="78">BN29+R29+L29+CR29+CX29+X29+AJ29+BZ29+CF29+AV29+BB29+CL29+DD29+AD29+BH29+BT29+AP29</f>
        <v>60040207</v>
      </c>
      <c r="G29" s="1333">
        <f t="shared" ref="G29" si="79">BO29+S29+M29+CS29+CY29+Y29+AK29+CA29+CG29+AW29+BC29+CM29+DE29+AE29+BI29+BU29+AQ29</f>
        <v>59770207</v>
      </c>
      <c r="H29" s="1326"/>
      <c r="I29" s="1326"/>
      <c r="J29" s="1326"/>
      <c r="K29" s="1326"/>
      <c r="L29" s="1326"/>
      <c r="M29" s="1326"/>
      <c r="N29" s="1327"/>
      <c r="O29" s="1327"/>
      <c r="P29" s="1327"/>
      <c r="Q29" s="1327"/>
      <c r="R29" s="1327"/>
      <c r="S29" s="1327"/>
      <c r="T29" s="1326"/>
      <c r="U29" s="1326"/>
      <c r="V29" s="1326"/>
      <c r="W29" s="1326"/>
      <c r="X29" s="1326"/>
      <c r="Y29" s="1326"/>
      <c r="Z29" s="1326"/>
      <c r="AA29" s="1326"/>
      <c r="AB29" s="1326"/>
      <c r="AC29" s="1326"/>
      <c r="AD29" s="1326"/>
      <c r="AE29" s="1326"/>
      <c r="AF29" s="1327"/>
      <c r="AG29" s="1327"/>
      <c r="AH29" s="1327"/>
      <c r="AI29" s="1327"/>
      <c r="AJ29" s="1327"/>
      <c r="AK29" s="1327"/>
      <c r="AL29" s="1327"/>
      <c r="AM29" s="1327"/>
      <c r="AN29" s="1327"/>
      <c r="AO29" s="1331"/>
      <c r="AP29" s="1331"/>
      <c r="AQ29" s="1331"/>
      <c r="AR29" s="1327"/>
      <c r="AS29" s="1327"/>
      <c r="AT29" s="1327"/>
      <c r="AU29" s="1327"/>
      <c r="AV29" s="1327"/>
      <c r="AW29" s="1327"/>
      <c r="AX29" s="1327"/>
      <c r="AY29" s="1327"/>
      <c r="AZ29" s="1327"/>
      <c r="BA29" s="1327"/>
      <c r="BB29" s="1327"/>
      <c r="BC29" s="1327"/>
      <c r="BD29" s="1334">
        <f>BD26</f>
        <v>35596207</v>
      </c>
      <c r="BE29" s="1334">
        <f t="shared" ref="BE29:BI29" si="80">BE26</f>
        <v>27634553.280000001</v>
      </c>
      <c r="BF29" s="1334">
        <f t="shared" si="80"/>
        <v>0</v>
      </c>
      <c r="BG29" s="1334">
        <f t="shared" si="80"/>
        <v>0</v>
      </c>
      <c r="BH29" s="1334">
        <f t="shared" si="80"/>
        <v>35596207</v>
      </c>
      <c r="BI29" s="1334">
        <f t="shared" si="80"/>
        <v>35596207</v>
      </c>
      <c r="BJ29" s="1327"/>
      <c r="BK29" s="1327"/>
      <c r="BL29" s="1327"/>
      <c r="BM29" s="1327"/>
      <c r="BN29" s="1327"/>
      <c r="BO29" s="1327"/>
      <c r="BP29" s="1334">
        <f>BP26</f>
        <v>24444000</v>
      </c>
      <c r="BQ29" s="1334">
        <f t="shared" ref="BQ29:BU29" si="81">BQ26</f>
        <v>24174000</v>
      </c>
      <c r="BR29" s="1334">
        <f t="shared" si="81"/>
        <v>0</v>
      </c>
      <c r="BS29" s="1334">
        <f t="shared" si="81"/>
        <v>0</v>
      </c>
      <c r="BT29" s="1334">
        <f t="shared" si="81"/>
        <v>24444000</v>
      </c>
      <c r="BU29" s="1334">
        <f t="shared" si="81"/>
        <v>24174000</v>
      </c>
      <c r="BV29" s="1327"/>
      <c r="BW29" s="1327"/>
      <c r="BX29" s="1332"/>
      <c r="BY29" s="1332"/>
      <c r="BZ29" s="1332"/>
      <c r="CA29" s="1332"/>
      <c r="CB29" s="1332"/>
      <c r="CC29" s="1332"/>
      <c r="CD29" s="1332"/>
      <c r="CE29" s="1332"/>
      <c r="CF29" s="1332"/>
      <c r="CG29" s="1332"/>
      <c r="CH29" s="1332"/>
      <c r="CI29" s="1332"/>
      <c r="CJ29" s="1332"/>
      <c r="CK29" s="1332"/>
      <c r="CL29" s="1332"/>
      <c r="CM29" s="1332"/>
      <c r="CN29" s="1327"/>
      <c r="CO29" s="1327"/>
      <c r="CP29" s="1327"/>
      <c r="CQ29" s="1327"/>
      <c r="CR29" s="1327"/>
      <c r="CS29" s="1327"/>
      <c r="CT29" s="1327"/>
      <c r="CU29" s="1327"/>
      <c r="CV29" s="1327"/>
      <c r="CW29" s="1327"/>
      <c r="CX29" s="1327"/>
      <c r="CY29" s="1327"/>
    </row>
    <row r="30" spans="1:109" s="149" customFormat="1" ht="21" customHeight="1" x14ac:dyDescent="0.3">
      <c r="A30" s="248"/>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row>
    <row r="31" spans="1:109" s="149" customFormat="1" ht="21" customHeight="1" x14ac:dyDescent="0.3">
      <c r="A31" s="248"/>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489"/>
      <c r="AP31" s="489"/>
      <c r="AQ31" s="48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489"/>
      <c r="BY31" s="489"/>
      <c r="BZ31" s="489"/>
      <c r="CA31" s="489"/>
      <c r="CB31" s="489"/>
      <c r="CC31" s="489"/>
      <c r="CD31" s="489"/>
      <c r="CE31" s="489"/>
      <c r="CF31" s="489"/>
      <c r="CG31" s="489"/>
      <c r="CH31" s="489"/>
      <c r="CI31" s="489"/>
      <c r="CJ31" s="489"/>
      <c r="CK31" s="489"/>
      <c r="CL31" s="489"/>
      <c r="CM31" s="489"/>
      <c r="CN31" s="249"/>
      <c r="CO31" s="249"/>
      <c r="CP31" s="249"/>
      <c r="CQ31" s="249"/>
      <c r="CR31" s="249"/>
      <c r="CS31" s="249"/>
      <c r="CT31" s="249"/>
      <c r="CU31" s="249"/>
      <c r="CV31" s="249"/>
      <c r="CW31" s="249"/>
      <c r="CX31" s="249"/>
      <c r="CY31" s="249"/>
    </row>
    <row r="32" spans="1:109" s="149" customFormat="1" ht="21" customHeight="1" x14ac:dyDescent="0.3">
      <c r="A32" s="248"/>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489"/>
      <c r="AP32" s="489"/>
      <c r="AQ32" s="48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489"/>
      <c r="BY32" s="489"/>
      <c r="BZ32" s="489"/>
      <c r="CA32" s="489"/>
      <c r="CB32" s="489"/>
      <c r="CC32" s="489"/>
      <c r="CD32" s="489"/>
      <c r="CE32" s="489"/>
      <c r="CF32" s="489"/>
      <c r="CG32" s="489"/>
      <c r="CH32" s="489"/>
      <c r="CI32" s="489"/>
      <c r="CJ32" s="489"/>
      <c r="CK32" s="489"/>
      <c r="CL32" s="489"/>
      <c r="CM32" s="489"/>
      <c r="CN32" s="249"/>
      <c r="CO32" s="249"/>
      <c r="CP32" s="249"/>
      <c r="CQ32" s="249"/>
      <c r="CR32" s="249"/>
      <c r="CS32" s="249"/>
      <c r="CT32" s="249"/>
      <c r="CU32" s="249"/>
      <c r="CV32" s="249"/>
      <c r="CW32" s="249"/>
      <c r="CX32" s="249"/>
      <c r="CY32" s="249"/>
    </row>
    <row r="33" spans="1:101" s="85" customFormat="1" ht="15.6" x14ac:dyDescent="0.3">
      <c r="AO33" s="249"/>
      <c r="AP33" s="249"/>
      <c r="AQ33" s="249"/>
      <c r="BX33" s="249"/>
      <c r="BY33" s="249"/>
      <c r="BZ33" s="249"/>
      <c r="CA33" s="249"/>
      <c r="CB33" s="249"/>
      <c r="CC33" s="249"/>
      <c r="CD33" s="249"/>
      <c r="CE33" s="249"/>
      <c r="CF33" s="249"/>
      <c r="CG33" s="249"/>
      <c r="CH33" s="249"/>
      <c r="CI33" s="249"/>
      <c r="CJ33" s="249"/>
      <c r="CK33" s="249"/>
      <c r="CL33" s="249"/>
      <c r="CM33" s="249"/>
    </row>
    <row r="34" spans="1:101" s="85" customFormat="1" ht="15.6" x14ac:dyDescent="0.3">
      <c r="AO34" s="410"/>
      <c r="AP34" s="410"/>
      <c r="AQ34" s="410"/>
      <c r="BV34" s="410"/>
      <c r="BW34" s="410"/>
      <c r="BX34" s="410"/>
      <c r="BY34" s="410"/>
      <c r="BZ34" s="410"/>
      <c r="CA34" s="410"/>
      <c r="CB34" s="410"/>
      <c r="CC34" s="410"/>
      <c r="CD34" s="410"/>
      <c r="CE34" s="410"/>
      <c r="CF34" s="410"/>
      <c r="CG34" s="410"/>
      <c r="CH34" s="410"/>
      <c r="CI34" s="410"/>
      <c r="CJ34" s="410"/>
      <c r="CK34" s="410"/>
      <c r="CL34" s="410"/>
      <c r="CM34" s="410"/>
    </row>
    <row r="35" spans="1:101" s="1" customFormat="1" ht="15.6" x14ac:dyDescent="0.3">
      <c r="A35" s="85"/>
      <c r="B35" s="85"/>
      <c r="C35" s="85"/>
      <c r="D35" s="85"/>
      <c r="E35" s="85"/>
      <c r="F35" s="85"/>
      <c r="G35" s="85"/>
      <c r="AO35" s="411"/>
      <c r="AP35" s="411"/>
      <c r="AQ35" s="411"/>
      <c r="BV35" s="411"/>
      <c r="BW35" s="411"/>
      <c r="BX35" s="411"/>
      <c r="BY35" s="411"/>
      <c r="BZ35" s="411"/>
      <c r="CA35" s="411"/>
      <c r="CB35" s="411"/>
      <c r="CC35" s="411"/>
      <c r="CD35" s="411"/>
      <c r="CE35" s="411"/>
      <c r="CF35" s="411"/>
      <c r="CG35" s="411"/>
      <c r="CH35" s="411"/>
      <c r="CI35" s="411"/>
      <c r="CJ35" s="411"/>
      <c r="CK35" s="411"/>
      <c r="CL35" s="411"/>
      <c r="CM35" s="411"/>
    </row>
    <row r="36" spans="1:101" ht="15.6" x14ac:dyDescent="0.3">
      <c r="A36" s="85"/>
      <c r="B36" s="85"/>
      <c r="C36" s="85"/>
      <c r="D36" s="85"/>
      <c r="E36" s="85"/>
      <c r="F36" s="85"/>
      <c r="G36" s="85"/>
      <c r="AL36"/>
      <c r="AM36"/>
      <c r="AN36"/>
      <c r="AO36" s="490"/>
      <c r="AP36" s="490"/>
      <c r="AQ36" s="490"/>
      <c r="BV36" s="411"/>
      <c r="BW36" s="411"/>
      <c r="BX36" s="490"/>
      <c r="BY36" s="490"/>
      <c r="BZ36" s="490"/>
      <c r="CA36" s="490"/>
      <c r="CB36" s="490"/>
      <c r="CC36" s="490"/>
      <c r="CD36" s="490"/>
      <c r="CE36" s="490"/>
      <c r="CF36" s="490"/>
      <c r="CG36" s="490"/>
      <c r="CH36" s="490"/>
      <c r="CI36" s="490"/>
      <c r="CJ36" s="490"/>
      <c r="CK36" s="490"/>
      <c r="CL36" s="490"/>
      <c r="CM36" s="490"/>
    </row>
    <row r="37" spans="1:101" ht="15.6" x14ac:dyDescent="0.3">
      <c r="N37" s="85"/>
      <c r="O37" s="85"/>
      <c r="P37" s="85"/>
      <c r="Q37" s="85"/>
      <c r="R37" s="85"/>
      <c r="S37" s="85"/>
      <c r="T37" s="85"/>
      <c r="U37" s="85"/>
      <c r="V37" s="85"/>
      <c r="W37" s="85"/>
      <c r="X37" s="85"/>
      <c r="Y37" s="85"/>
      <c r="Z37" s="85"/>
      <c r="AA37" s="85"/>
      <c r="AB37" s="85"/>
      <c r="AC37" s="85"/>
      <c r="AD37" s="85"/>
      <c r="AE37" s="85"/>
      <c r="AL37"/>
      <c r="AM37"/>
      <c r="AN37"/>
      <c r="AO37" s="412"/>
      <c r="AP37" s="412"/>
      <c r="AQ37" s="412"/>
      <c r="BV37" s="411"/>
      <c r="BW37" s="411"/>
      <c r="BX37" s="412"/>
      <c r="BY37" s="412"/>
      <c r="BZ37" s="412"/>
      <c r="CA37" s="412"/>
      <c r="CB37" s="412"/>
      <c r="CC37" s="412"/>
      <c r="CD37" s="412"/>
      <c r="CE37" s="412"/>
      <c r="CF37" s="412"/>
      <c r="CG37" s="412"/>
      <c r="CH37" s="412"/>
      <c r="CI37" s="412"/>
      <c r="CJ37" s="412"/>
      <c r="CK37" s="412"/>
      <c r="CL37" s="412"/>
      <c r="CM37" s="412"/>
    </row>
    <row r="38" spans="1:101" ht="15.6" x14ac:dyDescent="0.3">
      <c r="AL38"/>
      <c r="AM38"/>
      <c r="AN38"/>
      <c r="AO38" s="249"/>
      <c r="AP38" s="249"/>
      <c r="AQ38" s="249"/>
      <c r="BV38" s="411"/>
      <c r="BW38" s="411"/>
      <c r="BX38" s="249"/>
      <c r="BY38" s="249"/>
      <c r="BZ38" s="249"/>
      <c r="CA38" s="249"/>
      <c r="CB38" s="249"/>
      <c r="CC38" s="249"/>
      <c r="CD38" s="249"/>
      <c r="CE38" s="249"/>
      <c r="CF38" s="249"/>
      <c r="CG38" s="249"/>
      <c r="CH38" s="249"/>
      <c r="CI38" s="249"/>
      <c r="CJ38" s="249"/>
      <c r="CK38" s="249"/>
      <c r="CL38" s="249"/>
      <c r="CM38" s="249"/>
    </row>
    <row r="39" spans="1:101" ht="15.6" x14ac:dyDescent="0.3">
      <c r="AL39"/>
      <c r="AM39"/>
      <c r="AN39"/>
      <c r="AO39" s="1297"/>
      <c r="AP39" s="1297"/>
      <c r="AQ39" s="1297"/>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row>
    <row r="40" spans="1:101" ht="15.6" x14ac:dyDescent="0.3">
      <c r="AL40"/>
      <c r="AM40"/>
      <c r="AN40"/>
      <c r="AO40" s="420"/>
      <c r="AP40" s="420"/>
      <c r="AQ40" s="420"/>
      <c r="BV40" s="411"/>
      <c r="BW40" s="411"/>
      <c r="BX40" s="420"/>
      <c r="BY40" s="420"/>
      <c r="BZ40" s="420"/>
      <c r="CA40" s="420"/>
      <c r="CB40" s="420"/>
      <c r="CC40" s="420"/>
      <c r="CD40" s="420"/>
      <c r="CE40" s="420"/>
      <c r="CF40" s="420"/>
      <c r="CG40" s="420"/>
      <c r="CH40" s="420"/>
      <c r="CI40" s="420"/>
      <c r="CJ40" s="420"/>
      <c r="CK40" s="420"/>
      <c r="CL40" s="420"/>
      <c r="CM40" s="420"/>
    </row>
    <row r="41" spans="1:101" ht="15.6" x14ac:dyDescent="0.3">
      <c r="AL41" s="410"/>
      <c r="AM41" s="410"/>
      <c r="AN41" s="410"/>
      <c r="AO41" s="410"/>
      <c r="AP41" s="410"/>
      <c r="AQ41" s="410"/>
      <c r="BV41" s="410"/>
      <c r="BW41" s="410"/>
      <c r="BX41" s="410"/>
      <c r="BY41" s="410"/>
      <c r="BZ41" s="410"/>
      <c r="CA41" s="410"/>
      <c r="CB41" s="410"/>
      <c r="CC41" s="410"/>
      <c r="CD41" s="410"/>
      <c r="CE41" s="410"/>
      <c r="CF41" s="410"/>
      <c r="CG41" s="410"/>
      <c r="CH41" s="410"/>
      <c r="CI41" s="410"/>
      <c r="CJ41" s="410"/>
      <c r="CK41" s="410"/>
      <c r="CL41" s="410"/>
      <c r="CM41" s="410"/>
    </row>
    <row r="42" spans="1:101" ht="15.6" x14ac:dyDescent="0.3">
      <c r="AL42" s="414"/>
      <c r="AM42" s="414"/>
      <c r="AN42" s="414"/>
      <c r="AO42" s="414"/>
      <c r="AP42" s="414"/>
      <c r="AQ42" s="414"/>
      <c r="BV42" s="414"/>
      <c r="BW42" s="414"/>
      <c r="BX42" s="414"/>
      <c r="BY42" s="414"/>
      <c r="BZ42" s="414"/>
      <c r="CA42" s="414"/>
      <c r="CB42" s="414"/>
      <c r="CC42" s="414"/>
      <c r="CD42" s="414"/>
      <c r="CE42" s="414"/>
      <c r="CF42" s="414"/>
      <c r="CG42" s="414"/>
      <c r="CH42" s="414"/>
      <c r="CI42" s="414"/>
      <c r="CJ42" s="414"/>
      <c r="CK42" s="414"/>
      <c r="CL42" s="414"/>
      <c r="CM42" s="414"/>
    </row>
    <row r="43" spans="1:101" ht="15.6" x14ac:dyDescent="0.3">
      <c r="AL43" s="414"/>
      <c r="AM43" s="414"/>
      <c r="AN43" s="414"/>
      <c r="AO43" s="414"/>
      <c r="AP43" s="414"/>
      <c r="AQ43" s="414"/>
      <c r="BV43" s="414"/>
      <c r="BW43" s="414"/>
      <c r="BX43" s="414"/>
      <c r="BY43" s="414"/>
      <c r="BZ43" s="414"/>
      <c r="CA43" s="414"/>
      <c r="CB43" s="414"/>
      <c r="CC43" s="414"/>
      <c r="CD43" s="414"/>
      <c r="CE43" s="414"/>
      <c r="CF43" s="414"/>
      <c r="CG43" s="414"/>
      <c r="CH43" s="414"/>
      <c r="CI43" s="414"/>
      <c r="CJ43" s="414"/>
      <c r="CK43" s="414"/>
      <c r="CL43" s="414"/>
      <c r="CM43" s="414"/>
    </row>
    <row r="44" spans="1:101" ht="15.6" x14ac:dyDescent="0.3">
      <c r="AL44" s="414"/>
      <c r="AM44" s="414"/>
      <c r="AN44" s="414"/>
      <c r="AO44" s="414"/>
      <c r="AP44" s="414"/>
      <c r="AQ44" s="414"/>
      <c r="BV44" s="414"/>
      <c r="BW44" s="414"/>
      <c r="BX44" s="414"/>
      <c r="BY44" s="414"/>
      <c r="BZ44" s="414"/>
      <c r="CA44" s="414"/>
      <c r="CB44" s="414"/>
      <c r="CC44" s="414"/>
      <c r="CD44" s="414"/>
      <c r="CE44" s="414"/>
      <c r="CF44" s="414"/>
      <c r="CG44" s="414"/>
      <c r="CH44" s="414"/>
      <c r="CI44" s="414"/>
      <c r="CJ44" s="414"/>
      <c r="CK44" s="414"/>
      <c r="CL44" s="414"/>
      <c r="CM44" s="414"/>
    </row>
    <row r="45" spans="1:101" ht="15.6" x14ac:dyDescent="0.3">
      <c r="AL45" s="414"/>
      <c r="AM45" s="414"/>
      <c r="AN45" s="414"/>
      <c r="AO45" s="414"/>
      <c r="AP45" s="414"/>
      <c r="AQ45" s="414"/>
      <c r="BV45" s="414"/>
      <c r="BW45" s="414"/>
      <c r="BX45" s="414"/>
      <c r="BY45" s="414"/>
      <c r="BZ45" s="414"/>
      <c r="CA45" s="414"/>
      <c r="CB45" s="414"/>
      <c r="CC45" s="414"/>
      <c r="CD45" s="414"/>
      <c r="CE45" s="414"/>
      <c r="CF45" s="414"/>
      <c r="CG45" s="414"/>
      <c r="CH45" s="414"/>
      <c r="CI45" s="414"/>
      <c r="CJ45" s="414"/>
      <c r="CK45" s="414"/>
      <c r="CL45" s="414"/>
      <c r="CM45" s="414"/>
    </row>
  </sheetData>
  <mergeCells count="72">
    <mergeCell ref="A5:A6"/>
    <mergeCell ref="B5:C6"/>
    <mergeCell ref="D5:E6"/>
    <mergeCell ref="F5:G6"/>
    <mergeCell ref="J5:K5"/>
    <mergeCell ref="H5:I5"/>
    <mergeCell ref="H6:M6"/>
    <mergeCell ref="L5:M5"/>
    <mergeCell ref="T6:Y6"/>
    <mergeCell ref="R5:S5"/>
    <mergeCell ref="T5:U5"/>
    <mergeCell ref="V5:W5"/>
    <mergeCell ref="X5:Y5"/>
    <mergeCell ref="N6:S6"/>
    <mergeCell ref="P5:Q5"/>
    <mergeCell ref="N5:O5"/>
    <mergeCell ref="AF5:AG5"/>
    <mergeCell ref="AH5:AI5"/>
    <mergeCell ref="Z5:AA5"/>
    <mergeCell ref="AB5:AC5"/>
    <mergeCell ref="DD5:DE5"/>
    <mergeCell ref="BB5:BC5"/>
    <mergeCell ref="AD5:AE5"/>
    <mergeCell ref="AT5:AU5"/>
    <mergeCell ref="AV5:AW5"/>
    <mergeCell ref="AZ5:BA5"/>
    <mergeCell ref="BV5:BW5"/>
    <mergeCell ref="CZ5:DA5"/>
    <mergeCell ref="DB5:DC5"/>
    <mergeCell ref="AR5:AS5"/>
    <mergeCell ref="AL5:AM5"/>
    <mergeCell ref="AN5:AO5"/>
    <mergeCell ref="CN5:CO5"/>
    <mergeCell ref="CF5:CG5"/>
    <mergeCell ref="CB6:CG6"/>
    <mergeCell ref="CB5:CC5"/>
    <mergeCell ref="CH5:CI5"/>
    <mergeCell ref="CJ5:CK5"/>
    <mergeCell ref="CL5:CM5"/>
    <mergeCell ref="CH6:CM6"/>
    <mergeCell ref="Z6:AE6"/>
    <mergeCell ref="AJ5:AK5"/>
    <mergeCell ref="AF6:AK6"/>
    <mergeCell ref="AX5:AY5"/>
    <mergeCell ref="BP5:BQ5"/>
    <mergeCell ref="BP6:BU6"/>
    <mergeCell ref="BD5:BE5"/>
    <mergeCell ref="BF5:BG5"/>
    <mergeCell ref="BH5:BI5"/>
    <mergeCell ref="BD6:BI6"/>
    <mergeCell ref="BJ6:BO6"/>
    <mergeCell ref="BL5:BM5"/>
    <mergeCell ref="BJ5:BK5"/>
    <mergeCell ref="AX6:BC6"/>
    <mergeCell ref="BN5:BO5"/>
    <mergeCell ref="BR5:BS5"/>
    <mergeCell ref="AP5:AQ5"/>
    <mergeCell ref="AL6:AQ6"/>
    <mergeCell ref="AR6:AW6"/>
    <mergeCell ref="CZ6:DE6"/>
    <mergeCell ref="CX5:CY5"/>
    <mergeCell ref="BV6:CA6"/>
    <mergeCell ref="BX5:BY5"/>
    <mergeCell ref="BZ5:CA5"/>
    <mergeCell ref="BT5:BU5"/>
    <mergeCell ref="CN6:CS6"/>
    <mergeCell ref="CD5:CE5"/>
    <mergeCell ref="CV5:CW5"/>
    <mergeCell ref="CT5:CU5"/>
    <mergeCell ref="CR5:CS5"/>
    <mergeCell ref="CP5:CQ5"/>
    <mergeCell ref="CT6:CY6"/>
  </mergeCells>
  <phoneticPr fontId="0" type="noConversion"/>
  <pageMargins left="0.78740157480314965" right="0.39370078740157483" top="0.78740157480314965" bottom="0.78740157480314965" header="0.51181102362204722" footer="0.51181102362204722"/>
  <pageSetup paperSize="9" scale="54" fitToWidth="18" orientation="landscape" r:id="rId1"/>
  <headerFooter alignWithMargins="0">
    <oddFooter>&amp;L&amp;P&amp;R&amp;Z&amp;F&amp;A</oddFooter>
  </headerFooter>
  <colBreaks count="10" manualBreakCount="10">
    <brk id="11" max="25" man="1"/>
    <brk id="21" max="25" man="1"/>
    <brk id="31" max="25" man="1"/>
    <brk id="41" max="25" man="1"/>
    <brk id="51" max="25" man="1"/>
    <brk id="61" max="25" man="1"/>
    <brk id="71" max="25" man="1"/>
    <brk id="81" max="25" man="1"/>
    <brk id="91" max="25" man="1"/>
    <brk id="10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44"/>
  <sheetViews>
    <sheetView topLeftCell="A2" zoomScale="40" zoomScaleNormal="40" zoomScaleSheetLayoutView="40" workbookViewId="0">
      <pane xSplit="3" ySplit="6" topLeftCell="AD8" activePane="bottomRight" state="frozen"/>
      <selection activeCell="D27" sqref="D27"/>
      <selection pane="topRight" activeCell="D27" sqref="D27"/>
      <selection pane="bottomLeft" activeCell="D27" sqref="D27"/>
      <selection pane="bottomRight" activeCell="AM8" sqref="AM8:AM25"/>
    </sheetView>
  </sheetViews>
  <sheetFormatPr defaultColWidth="8.77734375" defaultRowHeight="16.8" x14ac:dyDescent="0.3"/>
  <cols>
    <col min="1" max="1" width="27" style="388" customWidth="1"/>
    <col min="2" max="2" width="26.21875" style="388" customWidth="1"/>
    <col min="3" max="3" width="25.5546875" style="388" bestFit="1" customWidth="1"/>
    <col min="4" max="5" width="25.5546875" style="388" customWidth="1"/>
    <col min="6" max="6" width="21.77734375" style="388" customWidth="1"/>
    <col min="7" max="7" width="21.5546875" style="388" customWidth="1"/>
    <col min="8" max="8" width="23.44140625" style="388" customWidth="1"/>
    <col min="9" max="9" width="25.5546875" style="388" customWidth="1"/>
    <col min="10" max="11" width="27.21875" style="388" customWidth="1"/>
    <col min="12" max="12" width="21.5546875" style="388" customWidth="1"/>
    <col min="13" max="13" width="20.77734375" style="388" customWidth="1"/>
    <col min="14" max="14" width="23.77734375" style="388" customWidth="1"/>
    <col min="15" max="15" width="24" style="388" customWidth="1"/>
    <col min="16" max="17" width="22.44140625" style="388" customWidth="1"/>
    <col min="18" max="18" width="22.44140625" style="388" bestFit="1" customWidth="1"/>
    <col min="19" max="19" width="22.77734375" style="388" bestFit="1" customWidth="1"/>
    <col min="20" max="20" width="22.5546875" style="388" customWidth="1"/>
    <col min="21" max="21" width="24" style="388" customWidth="1"/>
    <col min="22" max="22" width="26.5546875" style="388" customWidth="1"/>
    <col min="23" max="24" width="25.5546875" style="388" customWidth="1"/>
    <col min="25" max="25" width="28.21875" style="388" bestFit="1" customWidth="1"/>
    <col min="26" max="26" width="23.44140625" style="388" customWidth="1"/>
    <col min="27" max="29" width="22.44140625" style="388" customWidth="1"/>
    <col min="30" max="30" width="22.21875" style="388" customWidth="1"/>
    <col min="31" max="31" width="22.44140625" style="388" bestFit="1" customWidth="1"/>
    <col min="32" max="32" width="24.5546875" style="388" customWidth="1"/>
    <col min="33" max="33" width="25.44140625" style="388" customWidth="1"/>
    <col min="34" max="34" width="22" style="388" customWidth="1"/>
    <col min="35" max="38" width="22.44140625" style="388" customWidth="1"/>
    <col min="39" max="39" width="20.5546875" style="388" customWidth="1"/>
    <col min="40" max="40" width="12.5546875" style="388" customWidth="1"/>
    <col min="41" max="41" width="8.77734375" style="388"/>
    <col min="42" max="42" width="25.21875" style="390" customWidth="1"/>
    <col min="43" max="43" width="18.5546875" style="390" customWidth="1"/>
    <col min="44" max="44" width="17.5546875" style="390" customWidth="1"/>
    <col min="45" max="45" width="18.5546875" style="390" customWidth="1"/>
    <col min="46" max="16384" width="8.77734375" style="388"/>
  </cols>
  <sheetData>
    <row r="2" spans="1:45" ht="48" customHeight="1" x14ac:dyDescent="0.3">
      <c r="C2" s="1651" t="s">
        <v>35</v>
      </c>
      <c r="D2" s="1651"/>
      <c r="E2" s="1651"/>
      <c r="F2" s="1651"/>
      <c r="G2" s="1651"/>
      <c r="H2" s="1651"/>
      <c r="I2" s="1652" t="str">
        <f>'Прочая  субсидия_БП'!G2</f>
        <v>ПО  СОСТОЯНИЮ  НА  1  ОКТЯБРЯ  2019  ГОДА</v>
      </c>
      <c r="J2" s="1652"/>
      <c r="K2" s="1652"/>
      <c r="L2" s="387"/>
      <c r="M2" s="387"/>
      <c r="P2" s="387"/>
      <c r="Q2" s="387"/>
      <c r="AD2" s="391"/>
      <c r="AE2" s="391"/>
      <c r="AH2" s="387"/>
      <c r="AI2" s="387"/>
      <c r="AJ2" s="387"/>
      <c r="AK2" s="387"/>
    </row>
    <row r="3" spans="1:45" x14ac:dyDescent="0.3">
      <c r="B3" s="387"/>
      <c r="C3" s="387"/>
      <c r="D3" s="387"/>
      <c r="E3" s="387"/>
      <c r="L3" s="387"/>
      <c r="M3" s="387"/>
      <c r="P3" s="387"/>
      <c r="Q3" s="387"/>
      <c r="AD3" s="387"/>
      <c r="AE3" s="387"/>
      <c r="AH3" s="387"/>
      <c r="AI3" s="387"/>
      <c r="AJ3" s="387"/>
      <c r="AK3" s="387"/>
    </row>
    <row r="4" spans="1:45" x14ac:dyDescent="0.3">
      <c r="AM4" s="388" t="s">
        <v>42</v>
      </c>
    </row>
    <row r="5" spans="1:45" s="404" customFormat="1" ht="257.25" customHeight="1" x14ac:dyDescent="0.25">
      <c r="A5" s="1535" t="s">
        <v>13</v>
      </c>
      <c r="B5" s="1535" t="s">
        <v>1</v>
      </c>
      <c r="C5" s="1535"/>
      <c r="D5" s="1653" t="s">
        <v>376</v>
      </c>
      <c r="E5" s="1653"/>
      <c r="F5" s="1653" t="s">
        <v>12</v>
      </c>
      <c r="G5" s="1653"/>
      <c r="H5" s="1656" t="s">
        <v>622</v>
      </c>
      <c r="I5" s="1656"/>
      <c r="J5" s="1656" t="s">
        <v>621</v>
      </c>
      <c r="K5" s="1656"/>
      <c r="L5" s="1658" t="s">
        <v>164</v>
      </c>
      <c r="M5" s="1658"/>
      <c r="N5" s="1535" t="s">
        <v>23</v>
      </c>
      <c r="O5" s="1535"/>
      <c r="P5" s="1659" t="s">
        <v>620</v>
      </c>
      <c r="Q5" s="1659"/>
      <c r="R5" s="1656" t="s">
        <v>56</v>
      </c>
      <c r="S5" s="1656"/>
      <c r="T5" s="1535" t="s">
        <v>120</v>
      </c>
      <c r="U5" s="1535"/>
      <c r="V5" s="1535" t="s">
        <v>39</v>
      </c>
      <c r="W5" s="1535"/>
      <c r="X5" s="1661" t="s">
        <v>623</v>
      </c>
      <c r="Y5" s="1662"/>
      <c r="Z5" s="1663" t="s">
        <v>238</v>
      </c>
      <c r="AA5" s="1663"/>
      <c r="AB5" s="1535" t="s">
        <v>265</v>
      </c>
      <c r="AC5" s="1535"/>
      <c r="AD5" s="1656" t="s">
        <v>111</v>
      </c>
      <c r="AE5" s="1656"/>
      <c r="AF5" s="1653" t="s">
        <v>21</v>
      </c>
      <c r="AG5" s="1653"/>
      <c r="AH5" s="1658" t="s">
        <v>37</v>
      </c>
      <c r="AI5" s="1658"/>
      <c r="AJ5" s="1653" t="s">
        <v>247</v>
      </c>
      <c r="AK5" s="1653"/>
      <c r="AL5" s="1653" t="s">
        <v>239</v>
      </c>
      <c r="AM5" s="1653"/>
      <c r="AP5" s="389"/>
      <c r="AQ5" s="389"/>
      <c r="AR5" s="389"/>
      <c r="AS5" s="389"/>
    </row>
    <row r="6" spans="1:45" ht="25.5" customHeight="1" x14ac:dyDescent="0.3">
      <c r="A6" s="1535"/>
      <c r="B6" s="1535"/>
      <c r="C6" s="1535"/>
      <c r="D6" s="1654" t="s">
        <v>375</v>
      </c>
      <c r="E6" s="1655"/>
      <c r="F6" s="1654" t="s">
        <v>196</v>
      </c>
      <c r="G6" s="1655"/>
      <c r="H6" s="1654" t="s">
        <v>198</v>
      </c>
      <c r="I6" s="1655"/>
      <c r="J6" s="1654" t="s">
        <v>199</v>
      </c>
      <c r="K6" s="1655"/>
      <c r="L6" s="1654" t="s">
        <v>197</v>
      </c>
      <c r="M6" s="1655"/>
      <c r="N6" s="1657" t="s">
        <v>200</v>
      </c>
      <c r="O6" s="1655"/>
      <c r="P6" s="1660" t="s">
        <v>240</v>
      </c>
      <c r="Q6" s="1660"/>
      <c r="R6" s="1654" t="s">
        <v>201</v>
      </c>
      <c r="S6" s="1655"/>
      <c r="T6" s="1657" t="s">
        <v>202</v>
      </c>
      <c r="U6" s="1655"/>
      <c r="V6" s="1657" t="s">
        <v>259</v>
      </c>
      <c r="W6" s="1655"/>
      <c r="X6" s="1654" t="s">
        <v>260</v>
      </c>
      <c r="Y6" s="1655"/>
      <c r="Z6" s="1654" t="s">
        <v>261</v>
      </c>
      <c r="AA6" s="1655"/>
      <c r="AB6" s="1654" t="s">
        <v>264</v>
      </c>
      <c r="AC6" s="1655"/>
      <c r="AD6" s="1657" t="s">
        <v>203</v>
      </c>
      <c r="AE6" s="1655"/>
      <c r="AF6" s="1654" t="s">
        <v>712</v>
      </c>
      <c r="AG6" s="1655"/>
      <c r="AH6" s="1654" t="s">
        <v>204</v>
      </c>
      <c r="AI6" s="1655"/>
      <c r="AJ6" s="1654" t="s">
        <v>234</v>
      </c>
      <c r="AK6" s="1657"/>
      <c r="AL6" s="1654" t="s">
        <v>205</v>
      </c>
      <c r="AM6" s="1655"/>
    </row>
    <row r="7" spans="1:45" s="244" customFormat="1" ht="25.5" customHeight="1" x14ac:dyDescent="0.25">
      <c r="A7" s="222"/>
      <c r="B7" s="386" t="s">
        <v>171</v>
      </c>
      <c r="C7" s="386" t="s">
        <v>172</v>
      </c>
      <c r="D7" s="386" t="s">
        <v>171</v>
      </c>
      <c r="E7" s="386" t="s">
        <v>172</v>
      </c>
      <c r="F7" s="386" t="s">
        <v>171</v>
      </c>
      <c r="G7" s="386" t="s">
        <v>172</v>
      </c>
      <c r="H7" s="386" t="s">
        <v>171</v>
      </c>
      <c r="I7" s="386" t="s">
        <v>172</v>
      </c>
      <c r="J7" s="386" t="s">
        <v>171</v>
      </c>
      <c r="K7" s="386" t="s">
        <v>172</v>
      </c>
      <c r="L7" s="386" t="s">
        <v>171</v>
      </c>
      <c r="M7" s="386" t="s">
        <v>172</v>
      </c>
      <c r="N7" s="386" t="s">
        <v>171</v>
      </c>
      <c r="O7" s="1003" t="s">
        <v>172</v>
      </c>
      <c r="P7" s="449" t="s">
        <v>171</v>
      </c>
      <c r="Q7" s="449" t="s">
        <v>172</v>
      </c>
      <c r="R7" s="386" t="s">
        <v>171</v>
      </c>
      <c r="S7" s="386" t="s">
        <v>172</v>
      </c>
      <c r="T7" s="386" t="s">
        <v>171</v>
      </c>
      <c r="U7" s="386" t="s">
        <v>172</v>
      </c>
      <c r="V7" s="386" t="s">
        <v>171</v>
      </c>
      <c r="W7" s="386" t="s">
        <v>172</v>
      </c>
      <c r="X7" s="386" t="s">
        <v>171</v>
      </c>
      <c r="Y7" s="386" t="s">
        <v>172</v>
      </c>
      <c r="Z7" s="386" t="s">
        <v>171</v>
      </c>
      <c r="AA7" s="386" t="s">
        <v>172</v>
      </c>
      <c r="AB7" s="386" t="s">
        <v>171</v>
      </c>
      <c r="AC7" s="386" t="s">
        <v>172</v>
      </c>
      <c r="AD7" s="386" t="s">
        <v>171</v>
      </c>
      <c r="AE7" s="386" t="s">
        <v>172</v>
      </c>
      <c r="AF7" s="386" t="s">
        <v>171</v>
      </c>
      <c r="AG7" s="386" t="s">
        <v>172</v>
      </c>
      <c r="AH7" s="386" t="s">
        <v>171</v>
      </c>
      <c r="AI7" s="386" t="s">
        <v>172</v>
      </c>
      <c r="AJ7" s="386" t="s">
        <v>171</v>
      </c>
      <c r="AK7" s="386" t="s">
        <v>172</v>
      </c>
      <c r="AL7" s="386" t="s">
        <v>171</v>
      </c>
      <c r="AM7" s="386" t="s">
        <v>172</v>
      </c>
      <c r="AP7" s="392"/>
      <c r="AQ7" s="392"/>
      <c r="AR7" s="392"/>
      <c r="AS7" s="392"/>
    </row>
    <row r="8" spans="1:45" s="399" customFormat="1" ht="21" customHeight="1" x14ac:dyDescent="0.3">
      <c r="A8" s="398" t="s">
        <v>88</v>
      </c>
      <c r="B8" s="260">
        <f>AD8+AH8+L8+X8+Z8+H8+J8+R8+F8+AL8+AF8+N8+T8+V8+AJ8+P8+AB8+D8</f>
        <v>152424908</v>
      </c>
      <c r="C8" s="260">
        <f>AE8+AI8+M8+Y8+AA8+I8+K8+S8+G8+AM8+AG8+O8+U8+W8+AK8+Q8+AC8+E8</f>
        <v>118058661</v>
      </c>
      <c r="D8" s="204">
        <f>[1]Субвенция_факт!I9*1000</f>
        <v>0</v>
      </c>
      <c r="E8" s="978"/>
      <c r="F8" s="204">
        <f>[1]Субвенция_факт!J9*1000</f>
        <v>1304000</v>
      </c>
      <c r="G8" s="1382">
        <v>1027488</v>
      </c>
      <c r="H8" s="204">
        <f>[1]Субвенция_факт!L9*1000</f>
        <v>5006000</v>
      </c>
      <c r="I8" s="1382">
        <v>3806000</v>
      </c>
      <c r="J8" s="204">
        <f>[1]Субвенция_факт!M9*1000</f>
        <v>937850</v>
      </c>
      <c r="K8" s="1382">
        <v>884610</v>
      </c>
      <c r="L8" s="204">
        <f>[1]Субвенция_факт!N9*1000</f>
        <v>584200</v>
      </c>
      <c r="M8" s="1382">
        <v>434209</v>
      </c>
      <c r="N8" s="204">
        <f>[1]Субвенция_факт!O9*1000</f>
        <v>50250</v>
      </c>
      <c r="O8" s="1382">
        <v>0</v>
      </c>
      <c r="P8" s="204">
        <f>[1]Субвенция_факт!Q9*1000</f>
        <v>193000</v>
      </c>
      <c r="Q8" s="1382">
        <v>0</v>
      </c>
      <c r="R8" s="204">
        <f>[1]Субвенция_факт!R9*1000</f>
        <v>1833900</v>
      </c>
      <c r="S8" s="1382">
        <v>1293900</v>
      </c>
      <c r="T8" s="204">
        <f>[1]Субвенция_факт!S9*1000</f>
        <v>477000</v>
      </c>
      <c r="U8" s="1382">
        <v>477000</v>
      </c>
      <c r="V8" s="204">
        <f>[1]Субвенция_факт!T9*1000</f>
        <v>21900000</v>
      </c>
      <c r="W8" s="1382">
        <v>16500000</v>
      </c>
      <c r="X8" s="204">
        <f>[1]Субвенция_факт!U9*1000</f>
        <v>116580208</v>
      </c>
      <c r="Y8" s="1382">
        <v>90500000</v>
      </c>
      <c r="Z8" s="204">
        <f>[1]Субвенция_факт!V9*1000</f>
        <v>0</v>
      </c>
      <c r="AA8" s="711"/>
      <c r="AB8" s="204">
        <f>[1]Субвенция_факт!W9*1000</f>
        <v>1500</v>
      </c>
      <c r="AC8" s="1382">
        <v>500</v>
      </c>
      <c r="AD8" s="204">
        <f>[1]Субвенция_факт!X9*1000</f>
        <v>1892000</v>
      </c>
      <c r="AE8" s="1382">
        <v>1892000</v>
      </c>
      <c r="AF8" s="204">
        <f>[1]Субвенция_факт!Y9*1000</f>
        <v>0</v>
      </c>
      <c r="AG8" s="711"/>
      <c r="AH8" s="204">
        <f>[1]Субвенция_факт!Z9*1000</f>
        <v>592800</v>
      </c>
      <c r="AI8" s="1382">
        <v>400000</v>
      </c>
      <c r="AJ8" s="204">
        <f>[1]Субвенция_факт!AA9*1000</f>
        <v>302200</v>
      </c>
      <c r="AK8" s="1382">
        <v>265454</v>
      </c>
      <c r="AL8" s="204">
        <f>[1]Субвенция_факт!AF9*1000</f>
        <v>770000</v>
      </c>
      <c r="AM8" s="1382">
        <v>577500</v>
      </c>
      <c r="AP8" s="601"/>
      <c r="AQ8" s="602"/>
      <c r="AR8" s="602"/>
      <c r="AS8" s="602"/>
    </row>
    <row r="9" spans="1:45" ht="21" customHeight="1" x14ac:dyDescent="0.3">
      <c r="A9" s="398" t="s">
        <v>89</v>
      </c>
      <c r="B9" s="260">
        <f t="shared" ref="B9:B27" si="0">AD9+AH9+L9+X9+Z9+H9+J9+R9+F9+AL9+AF9+N9+T9+V9+AJ9+P9+AB9+D9</f>
        <v>564259720</v>
      </c>
      <c r="C9" s="260">
        <f t="shared" ref="C9:C27" si="1">AE9+AI9+M9+Y9+AA9+I9+K9+S9+G9+AM9+AG9+O9+U9+W9+AK9+Q9+AC9+E9</f>
        <v>428548075</v>
      </c>
      <c r="D9" s="204">
        <f>[1]Субвенция_факт!I10*1000</f>
        <v>0</v>
      </c>
      <c r="E9" s="978"/>
      <c r="F9" s="204">
        <f>[1]Субвенция_факт!J10*1000</f>
        <v>1540000</v>
      </c>
      <c r="G9" s="1382">
        <v>1122200</v>
      </c>
      <c r="H9" s="204">
        <f>[1]Субвенция_факт!L10*1000</f>
        <v>30469000</v>
      </c>
      <c r="I9" s="1382">
        <v>21469000</v>
      </c>
      <c r="J9" s="204">
        <f>[1]Субвенция_факт!M10*1000</f>
        <v>5627500</v>
      </c>
      <c r="K9" s="1382">
        <v>5627500</v>
      </c>
      <c r="L9" s="204">
        <f>[1]Субвенция_факт!N10*1000</f>
        <v>1056200</v>
      </c>
      <c r="M9" s="1382">
        <v>828000</v>
      </c>
      <c r="N9" s="204">
        <f>[1]Субвенция_факт!O10*1000</f>
        <v>251300</v>
      </c>
      <c r="O9" s="1382">
        <v>50000</v>
      </c>
      <c r="P9" s="204">
        <f>[1]Субвенция_факт!Q10*1000</f>
        <v>2026100</v>
      </c>
      <c r="Q9" s="1382">
        <v>1352000</v>
      </c>
      <c r="R9" s="204">
        <f>[1]Субвенция_факт!R10*1000</f>
        <v>5948400</v>
      </c>
      <c r="S9" s="1382">
        <v>4898400</v>
      </c>
      <c r="T9" s="204">
        <f>[1]Субвенция_факт!S10*1000</f>
        <v>481300</v>
      </c>
      <c r="U9" s="1382">
        <v>481300</v>
      </c>
      <c r="V9" s="204">
        <f>[1]Субвенция_факт!T10*1000</f>
        <v>146936000</v>
      </c>
      <c r="W9" s="1382">
        <v>112936000</v>
      </c>
      <c r="X9" s="204">
        <f>[1]Субвенция_факт!U10*1000</f>
        <v>365300420</v>
      </c>
      <c r="Y9" s="1382">
        <v>276003000</v>
      </c>
      <c r="Z9" s="204">
        <f>[1]Субвенция_факт!V10*1000</f>
        <v>0</v>
      </c>
      <c r="AA9" s="711"/>
      <c r="AB9" s="204">
        <f>[1]Субвенция_факт!W10*1000</f>
        <v>9000</v>
      </c>
      <c r="AC9" s="1382">
        <v>1000</v>
      </c>
      <c r="AD9" s="204">
        <f>[1]Субвенция_факт!X10*1000</f>
        <v>2238000</v>
      </c>
      <c r="AE9" s="1382">
        <v>2150000</v>
      </c>
      <c r="AF9" s="204">
        <f>[1]Субвенция_факт!Y10*1000</f>
        <v>0</v>
      </c>
      <c r="AG9" s="711"/>
      <c r="AH9" s="204">
        <f>[1]Субвенция_факт!Z10*1000</f>
        <v>1130700</v>
      </c>
      <c r="AI9" s="1382">
        <v>700000</v>
      </c>
      <c r="AJ9" s="204">
        <f>[1]Субвенция_факт!AA10*1000</f>
        <v>421300</v>
      </c>
      <c r="AK9" s="1382">
        <v>311300</v>
      </c>
      <c r="AL9" s="204">
        <f>[1]Субвенция_факт!AF10*1000</f>
        <v>824500</v>
      </c>
      <c r="AM9" s="1382">
        <v>618375</v>
      </c>
      <c r="AP9" s="400"/>
      <c r="AQ9" s="259"/>
      <c r="AR9" s="259"/>
      <c r="AS9" s="259"/>
    </row>
    <row r="10" spans="1:45" ht="21" customHeight="1" x14ac:dyDescent="0.3">
      <c r="A10" s="398" t="s">
        <v>90</v>
      </c>
      <c r="B10" s="260">
        <f t="shared" si="0"/>
        <v>318225994</v>
      </c>
      <c r="C10" s="260">
        <f t="shared" si="1"/>
        <v>250040434.90000001</v>
      </c>
      <c r="D10" s="204">
        <f>[1]Субвенция_факт!I11*1000</f>
        <v>0</v>
      </c>
      <c r="E10" s="978"/>
      <c r="F10" s="204">
        <f>[1]Субвенция_факт!J11*1000</f>
        <v>1060000</v>
      </c>
      <c r="G10" s="1382">
        <v>732800</v>
      </c>
      <c r="H10" s="204">
        <f>[1]Субвенция_факт!L11*1000</f>
        <v>13387000</v>
      </c>
      <c r="I10" s="1382">
        <v>8100000</v>
      </c>
      <c r="J10" s="204">
        <f>[1]Субвенция_факт!M11*1000</f>
        <v>1964870</v>
      </c>
      <c r="K10" s="1382">
        <v>1963840</v>
      </c>
      <c r="L10" s="204">
        <f>[1]Субвенция_факт!N11*1000</f>
        <v>1061600</v>
      </c>
      <c r="M10" s="1382">
        <v>768600</v>
      </c>
      <c r="N10" s="204">
        <f>[1]Субвенция_факт!O11*1000</f>
        <v>251250</v>
      </c>
      <c r="O10" s="1382">
        <v>50250</v>
      </c>
      <c r="P10" s="204">
        <f>[1]Субвенция_факт!Q11*1000</f>
        <v>482400</v>
      </c>
      <c r="Q10" s="1382">
        <v>361200</v>
      </c>
      <c r="R10" s="204">
        <f>[1]Субвенция_факт!R11*1000</f>
        <v>2414700</v>
      </c>
      <c r="S10" s="1382">
        <v>1800000</v>
      </c>
      <c r="T10" s="204">
        <f>[1]Субвенция_факт!S11*1000</f>
        <v>477500</v>
      </c>
      <c r="U10" s="1382">
        <v>477500</v>
      </c>
      <c r="V10" s="204">
        <f>[1]Субвенция_факт!T11*1000</f>
        <v>106504000</v>
      </c>
      <c r="W10" s="1382">
        <v>87000000</v>
      </c>
      <c r="X10" s="204">
        <f>[1]Субвенция_факт!U11*1000</f>
        <v>186247274</v>
      </c>
      <c r="Y10" s="1382">
        <v>145000000</v>
      </c>
      <c r="Z10" s="204">
        <f>[1]Субвенция_факт!V11*1000</f>
        <v>0</v>
      </c>
      <c r="AA10" s="711"/>
      <c r="AB10" s="204">
        <f>[1]Субвенция_факт!W11*1000</f>
        <v>4500</v>
      </c>
      <c r="AC10" s="1382">
        <v>0</v>
      </c>
      <c r="AD10" s="204">
        <f>[1]Субвенция_факт!X11*1000</f>
        <v>2387000</v>
      </c>
      <c r="AE10" s="1382">
        <v>2250000</v>
      </c>
      <c r="AF10" s="204">
        <f>[1]Субвенция_факт!Y11*1000</f>
        <v>0</v>
      </c>
      <c r="AG10" s="711"/>
      <c r="AH10" s="204">
        <f>[1]Субвенция_факт!Z11*1000</f>
        <v>592600</v>
      </c>
      <c r="AI10" s="1382">
        <v>407000</v>
      </c>
      <c r="AJ10" s="204">
        <f>[1]Субвенция_факт!AA11*1000</f>
        <v>509300</v>
      </c>
      <c r="AK10" s="1382">
        <v>467744.9</v>
      </c>
      <c r="AL10" s="204">
        <f>[1]Субвенция_факт!AF11*1000</f>
        <v>882000</v>
      </c>
      <c r="AM10" s="1382">
        <v>661500</v>
      </c>
      <c r="AP10" s="400"/>
      <c r="AQ10" s="259"/>
      <c r="AR10" s="259"/>
      <c r="AS10" s="259"/>
    </row>
    <row r="11" spans="1:45" ht="21" customHeight="1" x14ac:dyDescent="0.3">
      <c r="A11" s="398" t="s">
        <v>91</v>
      </c>
      <c r="B11" s="260">
        <f t="shared" si="0"/>
        <v>334293482</v>
      </c>
      <c r="C11" s="260">
        <f t="shared" si="1"/>
        <v>248846990</v>
      </c>
      <c r="D11" s="204">
        <f>[1]Субвенция_факт!I12*1000</f>
        <v>0</v>
      </c>
      <c r="E11" s="978"/>
      <c r="F11" s="204">
        <f>[1]Субвенция_факт!J12*1000</f>
        <v>2543000</v>
      </c>
      <c r="G11" s="1382">
        <v>1633000</v>
      </c>
      <c r="H11" s="204">
        <f>[1]Субвенция_факт!L12*1000</f>
        <v>13109000</v>
      </c>
      <c r="I11" s="1382">
        <v>8000000</v>
      </c>
      <c r="J11" s="204">
        <f>[1]Субвенция_факт!M12*1000</f>
        <v>2974240</v>
      </c>
      <c r="K11" s="1382">
        <v>2974240</v>
      </c>
      <c r="L11" s="204">
        <f>[1]Субвенция_факт!N12*1000</f>
        <v>1087200</v>
      </c>
      <c r="M11" s="1382">
        <v>750000</v>
      </c>
      <c r="N11" s="204">
        <f>[1]Субвенция_факт!O12*1000</f>
        <v>251250</v>
      </c>
      <c r="O11" s="1382">
        <v>0</v>
      </c>
      <c r="P11" s="204">
        <f>[1]Субвенция_факт!Q12*1000</f>
        <v>96500</v>
      </c>
      <c r="Q11" s="1382">
        <v>72500</v>
      </c>
      <c r="R11" s="204">
        <f>[1]Субвенция_факт!R12*1000</f>
        <v>3018800</v>
      </c>
      <c r="S11" s="1382">
        <v>2250000</v>
      </c>
      <c r="T11" s="204">
        <f>[1]Субвенция_факт!S12*1000</f>
        <v>498700</v>
      </c>
      <c r="U11" s="1382">
        <v>498700</v>
      </c>
      <c r="V11" s="204">
        <f>[1]Субвенция_факт!T12*1000</f>
        <v>35754000</v>
      </c>
      <c r="W11" s="1382">
        <v>27480000</v>
      </c>
      <c r="X11" s="204">
        <f>[1]Субвенция_факт!U12*1000</f>
        <v>271190492</v>
      </c>
      <c r="Y11" s="1382">
        <v>202100000</v>
      </c>
      <c r="Z11" s="204">
        <f>[1]Субвенция_факт!V12*1000</f>
        <v>0</v>
      </c>
      <c r="AA11" s="711"/>
      <c r="AB11" s="204">
        <f>[1]Субвенция_факт!W12*1000</f>
        <v>12500</v>
      </c>
      <c r="AC11" s="1382">
        <v>0</v>
      </c>
      <c r="AD11" s="204">
        <f>[1]Субвенция_факт!X12*1000</f>
        <v>1893000</v>
      </c>
      <c r="AE11" s="1382">
        <v>1825000</v>
      </c>
      <c r="AF11" s="204">
        <f>[1]Субвенция_факт!Y12*1000</f>
        <v>0</v>
      </c>
      <c r="AG11" s="711"/>
      <c r="AH11" s="204">
        <f>[1]Субвенция_факт!Z12*1000</f>
        <v>606800</v>
      </c>
      <c r="AI11" s="1382">
        <v>370000</v>
      </c>
      <c r="AJ11" s="204">
        <f>[1]Субвенция_факт!AA12*1000</f>
        <v>404700</v>
      </c>
      <c r="AK11" s="1382">
        <v>253575</v>
      </c>
      <c r="AL11" s="204">
        <f>[1]Субвенция_факт!AF12*1000</f>
        <v>853300</v>
      </c>
      <c r="AM11" s="1382">
        <v>639975</v>
      </c>
      <c r="AP11" s="400"/>
      <c r="AQ11" s="259"/>
      <c r="AR11" s="259"/>
      <c r="AS11" s="259"/>
    </row>
    <row r="12" spans="1:45" ht="21" customHeight="1" x14ac:dyDescent="0.3">
      <c r="A12" s="398" t="s">
        <v>92</v>
      </c>
      <c r="B12" s="260">
        <f t="shared" si="0"/>
        <v>301703918</v>
      </c>
      <c r="C12" s="260">
        <f t="shared" si="1"/>
        <v>228554976</v>
      </c>
      <c r="D12" s="204">
        <f>[1]Субвенция_факт!I13*1000</f>
        <v>0</v>
      </c>
      <c r="E12" s="978"/>
      <c r="F12" s="204">
        <f>[1]Субвенция_факт!J13*1000</f>
        <v>2258000</v>
      </c>
      <c r="G12" s="1382">
        <v>1317000</v>
      </c>
      <c r="H12" s="204">
        <f>[1]Субвенция_факт!L13*1000</f>
        <v>9801000</v>
      </c>
      <c r="I12" s="1382">
        <v>6500000</v>
      </c>
      <c r="J12" s="204">
        <f>[1]Субвенция_факт!M13*1000</f>
        <v>1451220</v>
      </c>
      <c r="K12" s="1382">
        <v>1451220</v>
      </c>
      <c r="L12" s="204">
        <f>[1]Субвенция_факт!N13*1000</f>
        <v>1248500</v>
      </c>
      <c r="M12" s="1382">
        <v>940400</v>
      </c>
      <c r="N12" s="204">
        <f>[1]Субвенция_факт!O13*1000</f>
        <v>201000</v>
      </c>
      <c r="O12" s="1382">
        <v>0</v>
      </c>
      <c r="P12" s="204">
        <f>[1]Субвенция_факт!Q13*1000</f>
        <v>289400</v>
      </c>
      <c r="Q12" s="1382">
        <v>289400</v>
      </c>
      <c r="R12" s="204">
        <f>[1]Субвенция_факт!R13*1000</f>
        <v>2414700</v>
      </c>
      <c r="S12" s="1382">
        <v>1936950</v>
      </c>
      <c r="T12" s="204">
        <f>[1]Субвенция_факт!S13*1000</f>
        <v>473800</v>
      </c>
      <c r="U12" s="1382">
        <v>473800</v>
      </c>
      <c r="V12" s="204">
        <f>[1]Субвенция_факт!T13*1000</f>
        <v>72440000</v>
      </c>
      <c r="W12" s="1382">
        <v>58000000</v>
      </c>
      <c r="X12" s="204">
        <f>[1]Субвенция_факт!U13*1000</f>
        <v>207799598</v>
      </c>
      <c r="Y12" s="1382">
        <v>154600000</v>
      </c>
      <c r="Z12" s="204">
        <f>[1]Субвенция_факт!V13*1000</f>
        <v>0</v>
      </c>
      <c r="AA12" s="711"/>
      <c r="AB12" s="204">
        <f>[1]Субвенция_факт!W13*1000</f>
        <v>5000</v>
      </c>
      <c r="AC12" s="1382">
        <v>5000</v>
      </c>
      <c r="AD12" s="204">
        <f>[1]Субвенция_факт!X13*1000</f>
        <v>1720000</v>
      </c>
      <c r="AE12" s="1382">
        <v>1650000</v>
      </c>
      <c r="AF12" s="204">
        <f>[1]Субвенция_факт!Y13*1000</f>
        <v>0</v>
      </c>
      <c r="AG12" s="711"/>
      <c r="AH12" s="204">
        <f>[1]Субвенция_факт!Z13*1000</f>
        <v>597800</v>
      </c>
      <c r="AI12" s="1382">
        <v>597800</v>
      </c>
      <c r="AJ12" s="204">
        <f>[1]Субвенция_факт!AA13*1000</f>
        <v>169800</v>
      </c>
      <c r="AK12" s="1382">
        <v>167831</v>
      </c>
      <c r="AL12" s="204">
        <f>[1]Субвенция_факт!AF13*1000</f>
        <v>834100</v>
      </c>
      <c r="AM12" s="1382">
        <v>625575</v>
      </c>
      <c r="AP12" s="400"/>
      <c r="AQ12" s="259"/>
      <c r="AR12" s="259"/>
      <c r="AS12" s="259"/>
    </row>
    <row r="13" spans="1:45" ht="21" customHeight="1" x14ac:dyDescent="0.3">
      <c r="A13" s="398" t="s">
        <v>93</v>
      </c>
      <c r="B13" s="260">
        <f t="shared" si="0"/>
        <v>205778743</v>
      </c>
      <c r="C13" s="260">
        <f t="shared" si="1"/>
        <v>154570849.88</v>
      </c>
      <c r="D13" s="204">
        <f>[1]Субвенция_факт!I14*1000</f>
        <v>0</v>
      </c>
      <c r="E13" s="978"/>
      <c r="F13" s="204">
        <f>[1]Субвенция_факт!J14*1000</f>
        <v>1771000</v>
      </c>
      <c r="G13" s="1382">
        <v>1250200</v>
      </c>
      <c r="H13" s="204">
        <f>[1]Субвенция_факт!L14*1000</f>
        <v>7053000</v>
      </c>
      <c r="I13" s="1382">
        <v>4110000</v>
      </c>
      <c r="J13" s="204">
        <f>[1]Субвенция_факт!M14*1000</f>
        <v>1384150</v>
      </c>
      <c r="K13" s="1382">
        <v>1384150</v>
      </c>
      <c r="L13" s="204">
        <f>[1]Субвенция_факт!N14*1000</f>
        <v>588000</v>
      </c>
      <c r="M13" s="1382">
        <v>520000</v>
      </c>
      <c r="N13" s="204">
        <f>[1]Субвенция_факт!O14*1000</f>
        <v>50250</v>
      </c>
      <c r="O13" s="1382">
        <v>0</v>
      </c>
      <c r="P13" s="204">
        <f>[1]Субвенция_факт!Q14*1000</f>
        <v>289400</v>
      </c>
      <c r="Q13" s="1382">
        <v>248000</v>
      </c>
      <c r="R13" s="204">
        <f>[1]Субвенция_факт!R14*1000</f>
        <v>1810700</v>
      </c>
      <c r="S13" s="1382">
        <v>1450000</v>
      </c>
      <c r="T13" s="204">
        <f>[1]Субвенция_факт!S14*1000</f>
        <v>546000</v>
      </c>
      <c r="U13" s="1382">
        <v>546000</v>
      </c>
      <c r="V13" s="204">
        <f>[1]Субвенция_факт!T14*1000</f>
        <v>29070000</v>
      </c>
      <c r="W13" s="1382">
        <v>20100000</v>
      </c>
      <c r="X13" s="204">
        <f>[1]Субвенция_факт!U14*1000</f>
        <v>159505043</v>
      </c>
      <c r="Y13" s="1382">
        <v>121700000</v>
      </c>
      <c r="Z13" s="204">
        <f>[1]Субвенция_факт!V14*1000</f>
        <v>0</v>
      </c>
      <c r="AA13" s="711"/>
      <c r="AB13" s="204">
        <f>[1]Субвенция_факт!W14*1000</f>
        <v>3000</v>
      </c>
      <c r="AC13" s="1382">
        <v>0</v>
      </c>
      <c r="AD13" s="204">
        <f>[1]Субвенция_факт!X14*1000</f>
        <v>2092000</v>
      </c>
      <c r="AE13" s="1382">
        <v>1965000</v>
      </c>
      <c r="AF13" s="204">
        <f>[1]Субвенция_факт!Y14*1000</f>
        <v>0</v>
      </c>
      <c r="AG13" s="711"/>
      <c r="AH13" s="204">
        <f>[1]Субвенция_факт!Z14*1000</f>
        <v>551000</v>
      </c>
      <c r="AI13" s="1382">
        <v>530000</v>
      </c>
      <c r="AJ13" s="204">
        <f>[1]Субвенция_факт!AA14*1000</f>
        <v>284000</v>
      </c>
      <c r="AK13" s="1382">
        <v>181599.88</v>
      </c>
      <c r="AL13" s="204">
        <f>[1]Субвенция_факт!AF14*1000</f>
        <v>781200</v>
      </c>
      <c r="AM13" s="1382">
        <v>585900</v>
      </c>
      <c r="AP13" s="400"/>
      <c r="AQ13" s="259"/>
      <c r="AR13" s="259"/>
      <c r="AS13" s="259"/>
    </row>
    <row r="14" spans="1:45" ht="21" customHeight="1" x14ac:dyDescent="0.3">
      <c r="A14" s="398" t="s">
        <v>94</v>
      </c>
      <c r="B14" s="260">
        <f t="shared" si="0"/>
        <v>300214257</v>
      </c>
      <c r="C14" s="260">
        <f t="shared" si="1"/>
        <v>248381580</v>
      </c>
      <c r="D14" s="204">
        <f>[1]Субвенция_факт!I15*1000</f>
        <v>0</v>
      </c>
      <c r="E14" s="978"/>
      <c r="F14" s="204">
        <f>[1]Субвенция_факт!J15*1000</f>
        <v>2010000</v>
      </c>
      <c r="G14" s="1382">
        <v>1329800</v>
      </c>
      <c r="H14" s="204">
        <f>[1]Субвенция_факт!L15*1000</f>
        <v>9965000</v>
      </c>
      <c r="I14" s="1382">
        <v>7660000</v>
      </c>
      <c r="J14" s="204">
        <f>[1]Субвенция_факт!M15*1000</f>
        <v>1842460</v>
      </c>
      <c r="K14" s="1382">
        <v>1842460</v>
      </c>
      <c r="L14" s="204">
        <f>[1]Субвенция_факт!N15*1000</f>
        <v>1106900</v>
      </c>
      <c r="M14" s="1382">
        <v>1106900</v>
      </c>
      <c r="N14" s="204">
        <f>[1]Субвенция_факт!O15*1000</f>
        <v>251250</v>
      </c>
      <c r="O14" s="1382">
        <v>150500</v>
      </c>
      <c r="P14" s="204">
        <f>[1]Субвенция_факт!Q15*1000</f>
        <v>385900</v>
      </c>
      <c r="Q14" s="1382">
        <v>144000</v>
      </c>
      <c r="R14" s="204">
        <f>[1]Субвенция_факт!R15*1000</f>
        <v>3018800</v>
      </c>
      <c r="S14" s="1382">
        <v>2300000</v>
      </c>
      <c r="T14" s="204">
        <f>[1]Субвенция_факт!S15*1000</f>
        <v>474500</v>
      </c>
      <c r="U14" s="1382">
        <v>474500</v>
      </c>
      <c r="V14" s="204">
        <f>[1]Субвенция_факт!T15*1000</f>
        <v>72838000</v>
      </c>
      <c r="W14" s="1382">
        <v>61700000</v>
      </c>
      <c r="X14" s="204">
        <f>[1]Субвенция_факт!U15*1000</f>
        <v>204927847</v>
      </c>
      <c r="Y14" s="1382">
        <v>168800000</v>
      </c>
      <c r="Z14" s="204">
        <f>[1]Субвенция_факт!V15*1000</f>
        <v>0</v>
      </c>
      <c r="AA14" s="711"/>
      <c r="AB14" s="204">
        <f>[1]Субвенция_факт!W15*1000</f>
        <v>2000</v>
      </c>
      <c r="AC14" s="1382">
        <v>1000</v>
      </c>
      <c r="AD14" s="204">
        <f>[1]Субвенция_факт!X15*1000</f>
        <v>1600000</v>
      </c>
      <c r="AE14" s="1382">
        <v>1550000</v>
      </c>
      <c r="AF14" s="204">
        <f>[1]Субвенция_факт!Y15*1000</f>
        <v>0</v>
      </c>
      <c r="AG14" s="711"/>
      <c r="AH14" s="204">
        <f>[1]Субвенция_факт!Z15*1000</f>
        <v>567900</v>
      </c>
      <c r="AI14" s="1382">
        <v>432000</v>
      </c>
      <c r="AJ14" s="204">
        <f>[1]Субвенция_факт!AA15*1000</f>
        <v>453700</v>
      </c>
      <c r="AK14" s="1382">
        <v>312920</v>
      </c>
      <c r="AL14" s="204">
        <f>[1]Субвенция_факт!AF15*1000</f>
        <v>770000</v>
      </c>
      <c r="AM14" s="1382">
        <v>577500</v>
      </c>
      <c r="AP14" s="400"/>
      <c r="AQ14" s="259"/>
      <c r="AR14" s="259"/>
      <c r="AS14" s="259"/>
    </row>
    <row r="15" spans="1:45" ht="21" customHeight="1" x14ac:dyDescent="0.3">
      <c r="A15" s="398" t="s">
        <v>95</v>
      </c>
      <c r="B15" s="260">
        <f t="shared" si="0"/>
        <v>254417741</v>
      </c>
      <c r="C15" s="260">
        <f t="shared" si="1"/>
        <v>240346596</v>
      </c>
      <c r="D15" s="204">
        <f>[1]Субвенция_факт!I16*1000</f>
        <v>0</v>
      </c>
      <c r="E15" s="978"/>
      <c r="F15" s="204">
        <f>[1]Субвенция_факт!J16*1000</f>
        <v>824000</v>
      </c>
      <c r="G15" s="1382">
        <v>593900</v>
      </c>
      <c r="H15" s="204">
        <f>[1]Субвенция_факт!L16*1000</f>
        <v>12440000</v>
      </c>
      <c r="I15" s="1382">
        <v>9329900</v>
      </c>
      <c r="J15" s="204">
        <f>[1]Субвенция_факт!M16*1000</f>
        <v>2550000</v>
      </c>
      <c r="K15" s="1382">
        <v>2550000</v>
      </c>
      <c r="L15" s="204">
        <f>[1]Субвенция_факт!N16*1000</f>
        <v>1272500</v>
      </c>
      <c r="M15" s="1382">
        <v>730000</v>
      </c>
      <c r="N15" s="204">
        <f>[1]Субвенция_факт!O16*1000</f>
        <v>150750</v>
      </c>
      <c r="O15" s="1382">
        <v>100500</v>
      </c>
      <c r="P15" s="204">
        <f>[1]Субвенция_факт!Q16*1000</f>
        <v>193000</v>
      </c>
      <c r="Q15" s="1382">
        <v>168000</v>
      </c>
      <c r="R15" s="204">
        <f>[1]Субвенция_факт!R16*1000</f>
        <v>2414700</v>
      </c>
      <c r="S15" s="1382">
        <v>1886796</v>
      </c>
      <c r="T15" s="204">
        <f>[1]Субвенция_факт!S16*1000</f>
        <v>481300</v>
      </c>
      <c r="U15" s="1382">
        <v>481300</v>
      </c>
      <c r="V15" s="204">
        <f>[1]Субвенция_факт!T16*1000</f>
        <v>61802000</v>
      </c>
      <c r="W15" s="1382">
        <v>61501000</v>
      </c>
      <c r="X15" s="204">
        <f>[1]Субвенция_факт!U16*1000</f>
        <v>168908791</v>
      </c>
      <c r="Y15" s="1382">
        <v>160145600</v>
      </c>
      <c r="Z15" s="204">
        <f>[1]Субвенция_факт!V16*1000</f>
        <v>0</v>
      </c>
      <c r="AA15" s="711"/>
      <c r="AB15" s="204">
        <f>[1]Субвенция_факт!W16*1000</f>
        <v>4000</v>
      </c>
      <c r="AC15" s="1382">
        <v>2000</v>
      </c>
      <c r="AD15" s="204">
        <f>[1]Субвенция_факт!X16*1000</f>
        <v>1629000</v>
      </c>
      <c r="AE15" s="1382">
        <v>1600000</v>
      </c>
      <c r="AF15" s="204">
        <f>[1]Субвенция_факт!Y16*1000</f>
        <v>0</v>
      </c>
      <c r="AG15" s="711"/>
      <c r="AH15" s="204">
        <f>[1]Субвенция_факт!Z16*1000</f>
        <v>579700</v>
      </c>
      <c r="AI15" s="1382">
        <v>448100</v>
      </c>
      <c r="AJ15" s="204">
        <f>[1]Субвенция_факт!AA16*1000</f>
        <v>334000</v>
      </c>
      <c r="AK15" s="1382">
        <v>184000</v>
      </c>
      <c r="AL15" s="204">
        <f>[1]Субвенция_факт!AF16*1000</f>
        <v>834000</v>
      </c>
      <c r="AM15" s="1382">
        <v>625500</v>
      </c>
      <c r="AP15" s="400"/>
      <c r="AQ15" s="259"/>
      <c r="AR15" s="259"/>
      <c r="AS15" s="259"/>
    </row>
    <row r="16" spans="1:45" ht="21" customHeight="1" x14ac:dyDescent="0.3">
      <c r="A16" s="398" t="s">
        <v>96</v>
      </c>
      <c r="B16" s="260">
        <f t="shared" si="0"/>
        <v>187678424</v>
      </c>
      <c r="C16" s="260">
        <f t="shared" si="1"/>
        <v>151194530</v>
      </c>
      <c r="D16" s="204">
        <f>[1]Субвенция_факт!I17*1000</f>
        <v>0</v>
      </c>
      <c r="E16" s="978"/>
      <c r="F16" s="204">
        <f>[1]Субвенция_факт!J17*1000</f>
        <v>1700000</v>
      </c>
      <c r="G16" s="1382">
        <v>1378800</v>
      </c>
      <c r="H16" s="204">
        <f>[1]Субвенция_факт!L17*1000</f>
        <v>6707000</v>
      </c>
      <c r="I16" s="1382">
        <v>4700000</v>
      </c>
      <c r="J16" s="204">
        <f>[1]Субвенция_факт!M17*1000</f>
        <v>1628180</v>
      </c>
      <c r="K16" s="1382">
        <v>1628180</v>
      </c>
      <c r="L16" s="204">
        <f>[1]Субвенция_факт!N17*1000</f>
        <v>581900</v>
      </c>
      <c r="M16" s="1382">
        <v>487000</v>
      </c>
      <c r="N16" s="204">
        <f>[1]Субвенция_факт!O17*1000</f>
        <v>50250</v>
      </c>
      <c r="O16" s="1382">
        <v>50250</v>
      </c>
      <c r="P16" s="204">
        <f>[1]Субвенция_факт!Q17*1000</f>
        <v>0</v>
      </c>
      <c r="Q16" s="1382"/>
      <c r="R16" s="204">
        <f>[1]Субвенция_факт!R17*1000</f>
        <v>1810700</v>
      </c>
      <c r="S16" s="1382">
        <v>1570000</v>
      </c>
      <c r="T16" s="204">
        <f>[1]Субвенция_факт!S17*1000</f>
        <v>635600</v>
      </c>
      <c r="U16" s="1382">
        <v>635600</v>
      </c>
      <c r="V16" s="204">
        <f>[1]Субвенция_факт!T17*1000</f>
        <v>28373000</v>
      </c>
      <c r="W16" s="1382">
        <v>23000000</v>
      </c>
      <c r="X16" s="204">
        <f>[1]Субвенция_факт!U17*1000</f>
        <v>142933294</v>
      </c>
      <c r="Y16" s="1382">
        <v>115000000</v>
      </c>
      <c r="Z16" s="204">
        <f>[1]Субвенция_факт!V17*1000</f>
        <v>0</v>
      </c>
      <c r="AA16" s="711"/>
      <c r="AB16" s="204">
        <f>[1]Субвенция_факт!W17*1000</f>
        <v>2000</v>
      </c>
      <c r="AC16" s="1382">
        <v>2000</v>
      </c>
      <c r="AD16" s="204">
        <f>[1]Субвенция_факт!X17*1000</f>
        <v>1839000</v>
      </c>
      <c r="AE16" s="1382">
        <v>1764000</v>
      </c>
      <c r="AF16" s="204">
        <f>[1]Субвенция_факт!Y17*1000</f>
        <v>0</v>
      </c>
      <c r="AG16" s="711"/>
      <c r="AH16" s="204">
        <f>[1]Субвенция_факт!Z17*1000</f>
        <v>575200</v>
      </c>
      <c r="AI16" s="1382">
        <v>330000</v>
      </c>
      <c r="AJ16" s="204">
        <f>[1]Субвенция_факт!AA17*1000</f>
        <v>70700</v>
      </c>
      <c r="AK16" s="1382">
        <v>70000</v>
      </c>
      <c r="AL16" s="204">
        <f>[1]Субвенция_факт!AF17*1000</f>
        <v>771600</v>
      </c>
      <c r="AM16" s="1382">
        <v>578700</v>
      </c>
      <c r="AP16" s="400"/>
      <c r="AQ16" s="259"/>
      <c r="AR16" s="259"/>
      <c r="AS16" s="259"/>
    </row>
    <row r="17" spans="1:45" ht="21" customHeight="1" x14ac:dyDescent="0.3">
      <c r="A17" s="398" t="s">
        <v>97</v>
      </c>
      <c r="B17" s="260">
        <f t="shared" si="0"/>
        <v>158615005</v>
      </c>
      <c r="C17" s="260">
        <f t="shared" si="1"/>
        <v>131091208</v>
      </c>
      <c r="D17" s="204">
        <f>[1]Субвенция_факт!I18*1000</f>
        <v>0</v>
      </c>
      <c r="E17" s="978"/>
      <c r="F17" s="204">
        <f>[1]Субвенция_факт!J18*1000</f>
        <v>1310000</v>
      </c>
      <c r="G17" s="1382">
        <v>872958</v>
      </c>
      <c r="H17" s="204">
        <f>[1]Субвенция_факт!L18*1000</f>
        <v>5699000</v>
      </c>
      <c r="I17" s="1382">
        <v>3700000</v>
      </c>
      <c r="J17" s="204">
        <f>[1]Субвенция_факт!M18*1000</f>
        <v>1158150</v>
      </c>
      <c r="K17" s="1382">
        <v>1158150</v>
      </c>
      <c r="L17" s="204">
        <f>[1]Субвенция_факт!N18*1000</f>
        <v>689000</v>
      </c>
      <c r="M17" s="1382">
        <v>560000</v>
      </c>
      <c r="N17" s="204">
        <f>[1]Субвенция_факт!O18*1000</f>
        <v>100500</v>
      </c>
      <c r="O17" s="1382">
        <v>0</v>
      </c>
      <c r="P17" s="204">
        <f>[1]Субвенция_факт!Q18*1000</f>
        <v>868300</v>
      </c>
      <c r="Q17" s="1382">
        <v>868300</v>
      </c>
      <c r="R17" s="204">
        <f>[1]Субвенция_факт!R18*1000</f>
        <v>1810700</v>
      </c>
      <c r="S17" s="1382">
        <v>1300000</v>
      </c>
      <c r="T17" s="204">
        <f>[1]Субвенция_факт!S18*1000</f>
        <v>622400</v>
      </c>
      <c r="U17" s="1382">
        <v>622400</v>
      </c>
      <c r="V17" s="204">
        <f>[1]Субвенция_факт!T18*1000</f>
        <v>41397000</v>
      </c>
      <c r="W17" s="1382">
        <v>34000000</v>
      </c>
      <c r="X17" s="204">
        <f>[1]Субвенция_факт!U18*1000</f>
        <v>101492255</v>
      </c>
      <c r="Y17" s="1382">
        <v>85000000</v>
      </c>
      <c r="Z17" s="204">
        <f>[1]Субвенция_факт!V18*1000</f>
        <v>0</v>
      </c>
      <c r="AA17" s="711"/>
      <c r="AB17" s="204">
        <f>[1]Субвенция_факт!W18*1000</f>
        <v>2500</v>
      </c>
      <c r="AC17" s="1382">
        <v>2500</v>
      </c>
      <c r="AD17" s="204">
        <f>[1]Субвенция_факт!X18*1000</f>
        <v>1920000</v>
      </c>
      <c r="AE17" s="1382">
        <v>1860000</v>
      </c>
      <c r="AF17" s="204">
        <f>[1]Субвенция_факт!Y18*1000</f>
        <v>0</v>
      </c>
      <c r="AG17" s="711"/>
      <c r="AH17" s="204">
        <f>[1]Субвенция_факт!Z18*1000</f>
        <v>582600</v>
      </c>
      <c r="AI17" s="1382">
        <v>420000</v>
      </c>
      <c r="AJ17" s="204">
        <f>[1]Субвенция_факт!AA18*1000</f>
        <v>219800</v>
      </c>
      <c r="AK17" s="1382">
        <v>169800</v>
      </c>
      <c r="AL17" s="204">
        <f>[1]Субвенция_факт!AF18*1000</f>
        <v>742800</v>
      </c>
      <c r="AM17" s="1382">
        <v>557100</v>
      </c>
      <c r="AP17" s="400"/>
      <c r="AQ17" s="259"/>
      <c r="AR17" s="259"/>
      <c r="AS17" s="259"/>
    </row>
    <row r="18" spans="1:45" ht="21" customHeight="1" x14ac:dyDescent="0.3">
      <c r="A18" s="398" t="s">
        <v>98</v>
      </c>
      <c r="B18" s="260">
        <f t="shared" si="0"/>
        <v>372348324</v>
      </c>
      <c r="C18" s="260">
        <f t="shared" si="1"/>
        <v>307331500</v>
      </c>
      <c r="D18" s="204">
        <f>[1]Субвенция_факт!I19*1000</f>
        <v>0</v>
      </c>
      <c r="E18" s="978"/>
      <c r="F18" s="204">
        <f>[1]Субвенция_факт!J19*1000</f>
        <v>1970000</v>
      </c>
      <c r="G18" s="1382">
        <v>1028800</v>
      </c>
      <c r="H18" s="204">
        <f>[1]Субвенция_факт!L19*1000</f>
        <v>17322000</v>
      </c>
      <c r="I18" s="1382">
        <v>9750000</v>
      </c>
      <c r="J18" s="204">
        <f>[1]Субвенция_факт!M19*1000</f>
        <v>2986100</v>
      </c>
      <c r="K18" s="1382">
        <v>2986100</v>
      </c>
      <c r="L18" s="204">
        <f>[1]Субвенция_факт!N19*1000</f>
        <v>1102300</v>
      </c>
      <c r="M18" s="1382">
        <v>750000</v>
      </c>
      <c r="N18" s="204">
        <f>[1]Субвенция_факт!O19*1000</f>
        <v>251250</v>
      </c>
      <c r="O18" s="1382">
        <v>100500</v>
      </c>
      <c r="P18" s="204">
        <f>[1]Субвенция_факт!Q19*1000</f>
        <v>289400</v>
      </c>
      <c r="Q18" s="1382">
        <v>168000</v>
      </c>
      <c r="R18" s="204">
        <f>[1]Субвенция_факт!R19*1000</f>
        <v>3018800</v>
      </c>
      <c r="S18" s="1382">
        <v>2340000</v>
      </c>
      <c r="T18" s="204">
        <f>[1]Субвенция_факт!S19*1000</f>
        <v>460300</v>
      </c>
      <c r="U18" s="1382">
        <v>460300</v>
      </c>
      <c r="V18" s="204">
        <f>[1]Субвенция_факт!T19*1000</f>
        <v>110007000</v>
      </c>
      <c r="W18" s="1382">
        <v>92500000</v>
      </c>
      <c r="X18" s="204">
        <f>[1]Субвенция_факт!U19*1000</f>
        <v>231126874</v>
      </c>
      <c r="Y18" s="1382">
        <v>194000000</v>
      </c>
      <c r="Z18" s="204">
        <f>[1]Субвенция_факт!V19*1000</f>
        <v>0</v>
      </c>
      <c r="AA18" s="711"/>
      <c r="AB18" s="204">
        <f>[1]Субвенция_факт!W19*1000</f>
        <v>14500</v>
      </c>
      <c r="AC18" s="1382">
        <v>6000</v>
      </c>
      <c r="AD18" s="204">
        <f>[1]Субвенция_факт!X19*1000</f>
        <v>2098000</v>
      </c>
      <c r="AE18" s="1382">
        <v>2098000</v>
      </c>
      <c r="AF18" s="204">
        <f>[1]Субвенция_факт!Y19*1000</f>
        <v>0</v>
      </c>
      <c r="AG18" s="711"/>
      <c r="AH18" s="204">
        <f>[1]Субвенция_факт!Z19*1000</f>
        <v>585900</v>
      </c>
      <c r="AI18" s="1382">
        <v>384000</v>
      </c>
      <c r="AJ18" s="204">
        <f>[1]Субвенция_факт!AA19*1000</f>
        <v>291500</v>
      </c>
      <c r="AK18" s="1382">
        <v>141500</v>
      </c>
      <c r="AL18" s="204">
        <f>[1]Субвенция_факт!AF19*1000</f>
        <v>824400</v>
      </c>
      <c r="AM18" s="1382">
        <v>618300</v>
      </c>
      <c r="AP18" s="400"/>
      <c r="AQ18" s="259"/>
      <c r="AR18" s="259"/>
      <c r="AS18" s="259"/>
    </row>
    <row r="19" spans="1:45" ht="21" customHeight="1" x14ac:dyDescent="0.3">
      <c r="A19" s="398" t="s">
        <v>99</v>
      </c>
      <c r="B19" s="260">
        <f t="shared" si="0"/>
        <v>229023515</v>
      </c>
      <c r="C19" s="260">
        <f t="shared" si="1"/>
        <v>178130520</v>
      </c>
      <c r="D19" s="204">
        <f>[1]Субвенция_факт!I20*1000</f>
        <v>0</v>
      </c>
      <c r="E19" s="978"/>
      <c r="F19" s="204">
        <f>[1]Субвенция_факт!J20*1000</f>
        <v>1675000</v>
      </c>
      <c r="G19" s="1382">
        <v>1130000</v>
      </c>
      <c r="H19" s="204">
        <f>[1]Субвенция_факт!L20*1000</f>
        <v>7197000</v>
      </c>
      <c r="I19" s="1382">
        <v>3700000</v>
      </c>
      <c r="J19" s="204">
        <f>[1]Субвенция_факт!M20*1000</f>
        <v>1654410</v>
      </c>
      <c r="K19" s="1382">
        <v>1654410</v>
      </c>
      <c r="L19" s="204">
        <f>[1]Субвенция_факт!N20*1000</f>
        <v>585400</v>
      </c>
      <c r="M19" s="1382">
        <v>450000</v>
      </c>
      <c r="N19" s="204">
        <f>[1]Субвенция_факт!O20*1000</f>
        <v>100500</v>
      </c>
      <c r="O19" s="1382">
        <v>0</v>
      </c>
      <c r="P19" s="204">
        <f>[1]Субвенция_факт!Q20*1000</f>
        <v>193000</v>
      </c>
      <c r="Q19" s="1382">
        <v>144000</v>
      </c>
      <c r="R19" s="204">
        <f>[1]Субвенция_факт!R20*1000</f>
        <v>1810700</v>
      </c>
      <c r="S19" s="1382">
        <v>1350000</v>
      </c>
      <c r="T19" s="204">
        <f>[1]Субвенция_факт!S20*1000</f>
        <v>517000</v>
      </c>
      <c r="U19" s="1382">
        <v>517000</v>
      </c>
      <c r="V19" s="204">
        <f>[1]Субвенция_факт!T20*1000</f>
        <v>43955000</v>
      </c>
      <c r="W19" s="1382">
        <v>36000000</v>
      </c>
      <c r="X19" s="204">
        <f>[1]Субвенция_факт!U20*1000</f>
        <v>167592205</v>
      </c>
      <c r="Y19" s="1382">
        <v>130000000</v>
      </c>
      <c r="Z19" s="204">
        <f>[1]Субвенция_факт!V20*1000</f>
        <v>0</v>
      </c>
      <c r="AA19" s="711"/>
      <c r="AB19" s="204">
        <f>[1]Субвенция_факт!W20*1000</f>
        <v>10000</v>
      </c>
      <c r="AC19" s="1382">
        <v>0</v>
      </c>
      <c r="AD19" s="204">
        <f>[1]Субвенция_факт!X20*1000</f>
        <v>2150000</v>
      </c>
      <c r="AE19" s="1382">
        <v>2080000</v>
      </c>
      <c r="AF19" s="204">
        <f>[1]Субвенция_факт!Y20*1000</f>
        <v>0</v>
      </c>
      <c r="AG19" s="711"/>
      <c r="AH19" s="204">
        <f>[1]Субвенция_факт!Z20*1000</f>
        <v>591500</v>
      </c>
      <c r="AI19" s="1382">
        <v>450000</v>
      </c>
      <c r="AJ19" s="204">
        <f>[1]Субвенция_факт!AA20*1000</f>
        <v>249000</v>
      </c>
      <c r="AK19" s="1382">
        <v>98010</v>
      </c>
      <c r="AL19" s="204">
        <f>[1]Субвенция_факт!AF20*1000</f>
        <v>742800</v>
      </c>
      <c r="AM19" s="1382">
        <v>557100</v>
      </c>
      <c r="AP19" s="400"/>
      <c r="AQ19" s="259"/>
      <c r="AR19" s="259"/>
      <c r="AS19" s="259"/>
    </row>
    <row r="20" spans="1:45" ht="21" customHeight="1" x14ac:dyDescent="0.3">
      <c r="A20" s="398" t="s">
        <v>100</v>
      </c>
      <c r="B20" s="260">
        <f t="shared" si="0"/>
        <v>512300438</v>
      </c>
      <c r="C20" s="260">
        <f t="shared" si="1"/>
        <v>397954353</v>
      </c>
      <c r="D20" s="204">
        <f>[1]Субвенция_факт!I21*1000</f>
        <v>0</v>
      </c>
      <c r="E20" s="978"/>
      <c r="F20" s="204">
        <f>[1]Субвенция_факт!J21*1000</f>
        <v>3170000</v>
      </c>
      <c r="G20" s="1382">
        <v>2375800</v>
      </c>
      <c r="H20" s="204">
        <f>[1]Субвенция_факт!L21*1000</f>
        <v>19055000</v>
      </c>
      <c r="I20" s="1382">
        <v>12400000</v>
      </c>
      <c r="J20" s="204">
        <f>[1]Субвенция_факт!M21*1000</f>
        <v>3289010</v>
      </c>
      <c r="K20" s="1382">
        <v>2915050</v>
      </c>
      <c r="L20" s="204">
        <f>[1]Субвенция_факт!N21*1000</f>
        <v>1098300</v>
      </c>
      <c r="M20" s="1382">
        <v>860000</v>
      </c>
      <c r="N20" s="204">
        <f>[1]Субвенция_факт!O21*1000</f>
        <v>251250</v>
      </c>
      <c r="O20" s="1382">
        <v>0</v>
      </c>
      <c r="P20" s="204">
        <f>[1]Субвенция_факт!Q21*1000</f>
        <v>964800</v>
      </c>
      <c r="Q20" s="1382">
        <v>650000</v>
      </c>
      <c r="R20" s="204">
        <f>[1]Субвенция_факт!R21*1000</f>
        <v>4832800</v>
      </c>
      <c r="S20" s="1382">
        <v>4600000</v>
      </c>
      <c r="T20" s="204">
        <f>[1]Субвенция_факт!S21*1000</f>
        <v>509900</v>
      </c>
      <c r="U20" s="1382">
        <v>509900</v>
      </c>
      <c r="V20" s="204">
        <f>[1]Субвенция_факт!T21*1000</f>
        <v>83553000</v>
      </c>
      <c r="W20" s="1382">
        <v>65900000</v>
      </c>
      <c r="X20" s="204">
        <f>[1]Субвенция_факт!U21*1000</f>
        <v>391537778</v>
      </c>
      <c r="Y20" s="1382">
        <v>304000000</v>
      </c>
      <c r="Z20" s="204">
        <f>[1]Субвенция_факт!V21*1000</f>
        <v>0</v>
      </c>
      <c r="AA20" s="711"/>
      <c r="AB20" s="204">
        <f>[1]Субвенция_факт!W21*1000</f>
        <v>15500</v>
      </c>
      <c r="AC20" s="1382">
        <v>1500</v>
      </c>
      <c r="AD20" s="204">
        <f>[1]Субвенция_факт!X21*1000</f>
        <v>1942000</v>
      </c>
      <c r="AE20" s="1382">
        <v>1942000</v>
      </c>
      <c r="AF20" s="204">
        <f>[1]Субвенция_факт!Y21*1000</f>
        <v>0</v>
      </c>
      <c r="AG20" s="711"/>
      <c r="AH20" s="204">
        <f>[1]Субвенция_факт!Z21*1000</f>
        <v>564400</v>
      </c>
      <c r="AI20" s="1382">
        <v>564400</v>
      </c>
      <c r="AJ20" s="204">
        <f>[1]Субвенция_факт!AA21*1000</f>
        <v>644200</v>
      </c>
      <c r="AK20" s="1382">
        <v>581328</v>
      </c>
      <c r="AL20" s="204">
        <f>[1]Субвенция_факт!AF21*1000</f>
        <v>872500</v>
      </c>
      <c r="AM20" s="1382">
        <v>654375</v>
      </c>
      <c r="AP20" s="400"/>
      <c r="AQ20" s="259"/>
      <c r="AR20" s="259"/>
      <c r="AS20" s="259"/>
    </row>
    <row r="21" spans="1:45" ht="21" customHeight="1" x14ac:dyDescent="0.3">
      <c r="A21" s="398" t="s">
        <v>101</v>
      </c>
      <c r="B21" s="260">
        <f t="shared" si="0"/>
        <v>198524325</v>
      </c>
      <c r="C21" s="260">
        <f t="shared" si="1"/>
        <v>152857715</v>
      </c>
      <c r="D21" s="204">
        <f>[1]Субвенция_факт!I22*1000</f>
        <v>0</v>
      </c>
      <c r="E21" s="978"/>
      <c r="F21" s="204">
        <f>[1]Субвенция_факт!J22*1000</f>
        <v>1350000</v>
      </c>
      <c r="G21" s="1382">
        <v>1019000</v>
      </c>
      <c r="H21" s="204">
        <f>[1]Субвенция_факт!L22*1000</f>
        <v>6900000</v>
      </c>
      <c r="I21" s="1382">
        <v>3701000</v>
      </c>
      <c r="J21" s="204">
        <f>[1]Субвенция_факт!M22*1000</f>
        <v>1510090</v>
      </c>
      <c r="K21" s="1382">
        <v>1510090</v>
      </c>
      <c r="L21" s="204">
        <f>[1]Субвенция_факт!N22*1000</f>
        <v>544800</v>
      </c>
      <c r="M21" s="1382">
        <v>428200</v>
      </c>
      <c r="N21" s="204">
        <f>[1]Субвенция_факт!O22*1000</f>
        <v>50250</v>
      </c>
      <c r="O21" s="1382">
        <v>50250</v>
      </c>
      <c r="P21" s="204">
        <f>[1]Субвенция_факт!Q22*1000</f>
        <v>96500</v>
      </c>
      <c r="Q21" s="1382">
        <v>8000</v>
      </c>
      <c r="R21" s="204">
        <f>[1]Субвенция_факт!R22*1000</f>
        <v>1810700</v>
      </c>
      <c r="S21" s="1382">
        <v>1358100</v>
      </c>
      <c r="T21" s="204">
        <f>[1]Субвенция_факт!S22*1000</f>
        <v>578100</v>
      </c>
      <c r="U21" s="1382">
        <v>578100</v>
      </c>
      <c r="V21" s="204">
        <f>[1]Субвенция_факт!T22*1000</f>
        <v>42145000</v>
      </c>
      <c r="W21" s="1382">
        <v>32290000</v>
      </c>
      <c r="X21" s="204">
        <f>[1]Субвенция_факт!U22*1000</f>
        <v>139921485</v>
      </c>
      <c r="Y21" s="1382">
        <v>109050000</v>
      </c>
      <c r="Z21" s="204">
        <f>[1]Субвенция_факт!V22*1000</f>
        <v>0</v>
      </c>
      <c r="AA21" s="711"/>
      <c r="AB21" s="204">
        <f>[1]Субвенция_факт!W22*1000</f>
        <v>1000</v>
      </c>
      <c r="AC21" s="1382">
        <v>0</v>
      </c>
      <c r="AD21" s="204">
        <f>[1]Субвенция_факт!X22*1000</f>
        <v>1814000</v>
      </c>
      <c r="AE21" s="1382">
        <v>1620000</v>
      </c>
      <c r="AF21" s="204">
        <f>[1]Субвенция_факт!Y22*1000</f>
        <v>0</v>
      </c>
      <c r="AG21" s="711"/>
      <c r="AH21" s="204">
        <f>[1]Субвенция_факт!Z22*1000</f>
        <v>596500</v>
      </c>
      <c r="AI21" s="1382">
        <v>400000</v>
      </c>
      <c r="AJ21" s="204">
        <f>[1]Субвенция_факт!AA22*1000</f>
        <v>362200</v>
      </c>
      <c r="AK21" s="1382">
        <v>212200</v>
      </c>
      <c r="AL21" s="204">
        <f>[1]Субвенция_факт!AF22*1000</f>
        <v>843700</v>
      </c>
      <c r="AM21" s="1382">
        <v>632775</v>
      </c>
      <c r="AP21" s="400"/>
      <c r="AQ21" s="259"/>
      <c r="AR21" s="259"/>
      <c r="AS21" s="259"/>
    </row>
    <row r="22" spans="1:45" ht="21" customHeight="1" x14ac:dyDescent="0.3">
      <c r="A22" s="398" t="s">
        <v>102</v>
      </c>
      <c r="B22" s="260">
        <f t="shared" si="0"/>
        <v>262684157</v>
      </c>
      <c r="C22" s="260">
        <f t="shared" si="1"/>
        <v>226538950</v>
      </c>
      <c r="D22" s="204">
        <f>[1]Субвенция_факт!I23*1000</f>
        <v>0</v>
      </c>
      <c r="E22" s="978"/>
      <c r="F22" s="204">
        <f>[1]Субвенция_факт!J23*1000</f>
        <v>2200000</v>
      </c>
      <c r="G22" s="1382">
        <v>1611200</v>
      </c>
      <c r="H22" s="204">
        <f>[1]Субвенция_факт!L23*1000</f>
        <v>8953000</v>
      </c>
      <c r="I22" s="1382">
        <v>5300000</v>
      </c>
      <c r="J22" s="204">
        <f>[1]Субвенция_факт!M23*1000</f>
        <v>2253250</v>
      </c>
      <c r="K22" s="1382">
        <v>2100000</v>
      </c>
      <c r="L22" s="204">
        <f>[1]Субвенция_факт!N23*1000</f>
        <v>1127600</v>
      </c>
      <c r="M22" s="1382">
        <v>860000</v>
      </c>
      <c r="N22" s="204">
        <f>[1]Субвенция_факт!O23*1000</f>
        <v>50250</v>
      </c>
      <c r="O22" s="1382">
        <v>50250</v>
      </c>
      <c r="P22" s="204">
        <f>[1]Субвенция_факт!Q23*1000</f>
        <v>96500</v>
      </c>
      <c r="Q22" s="1382">
        <v>0</v>
      </c>
      <c r="R22" s="204">
        <f>[1]Субвенция_факт!R23*1000</f>
        <v>1810700</v>
      </c>
      <c r="S22" s="1382">
        <v>1600000</v>
      </c>
      <c r="T22" s="204">
        <f>[1]Субвенция_факт!S23*1000</f>
        <v>480700</v>
      </c>
      <c r="U22" s="1382">
        <v>480700</v>
      </c>
      <c r="V22" s="204">
        <f>[1]Субвенция_факт!T23*1000</f>
        <v>40158000</v>
      </c>
      <c r="W22" s="1382">
        <v>34300000</v>
      </c>
      <c r="X22" s="204">
        <f>[1]Субвенция_факт!U23*1000</f>
        <v>201661657</v>
      </c>
      <c r="Y22" s="1382">
        <v>177000000</v>
      </c>
      <c r="Z22" s="204">
        <f>[1]Субвенция_факт!V23*1000</f>
        <v>0</v>
      </c>
      <c r="AA22" s="711"/>
      <c r="AB22" s="204">
        <f>[1]Субвенция_факт!W23*1000</f>
        <v>3000</v>
      </c>
      <c r="AC22" s="1382">
        <v>0</v>
      </c>
      <c r="AD22" s="204">
        <f>[1]Субвенция_факт!X23*1000</f>
        <v>2254000</v>
      </c>
      <c r="AE22" s="1382">
        <v>2160000</v>
      </c>
      <c r="AF22" s="204">
        <f>[1]Субвенция_факт!Y23*1000</f>
        <v>0</v>
      </c>
      <c r="AG22" s="711"/>
      <c r="AH22" s="204">
        <f>[1]Субвенция_факт!Z23*1000</f>
        <v>596700</v>
      </c>
      <c r="AI22" s="1382">
        <v>400000</v>
      </c>
      <c r="AJ22" s="204">
        <f>[1]Субвенция_факт!AA23*1000</f>
        <v>268800</v>
      </c>
      <c r="AK22" s="1382">
        <v>99300</v>
      </c>
      <c r="AL22" s="204">
        <f>[1]Субвенция_факт!AF23*1000</f>
        <v>770000</v>
      </c>
      <c r="AM22" s="1382">
        <v>577500</v>
      </c>
      <c r="AP22" s="400"/>
      <c r="AQ22" s="259"/>
      <c r="AR22" s="259"/>
      <c r="AS22" s="259"/>
    </row>
    <row r="23" spans="1:45" ht="21" customHeight="1" x14ac:dyDescent="0.3">
      <c r="A23" s="398" t="s">
        <v>103</v>
      </c>
      <c r="B23" s="260">
        <f t="shared" si="0"/>
        <v>393822631</v>
      </c>
      <c r="C23" s="260">
        <f t="shared" si="1"/>
        <v>319344541.75999999</v>
      </c>
      <c r="D23" s="204">
        <f>[1]Субвенция_факт!I24*1000</f>
        <v>0</v>
      </c>
      <c r="E23" s="978"/>
      <c r="F23" s="204">
        <f>[1]Субвенция_факт!J24*1000</f>
        <v>1690000</v>
      </c>
      <c r="G23" s="1382">
        <v>1051536</v>
      </c>
      <c r="H23" s="204">
        <f>[1]Субвенция_факт!L24*1000</f>
        <v>18960000</v>
      </c>
      <c r="I23" s="1382">
        <v>15780000</v>
      </c>
      <c r="J23" s="204">
        <f>[1]Субвенция_факт!M24*1000</f>
        <v>4033910</v>
      </c>
      <c r="K23" s="1382">
        <v>4033910</v>
      </c>
      <c r="L23" s="204">
        <f>[1]Субвенция_факт!N24*1000</f>
        <v>1117000</v>
      </c>
      <c r="M23" s="1382">
        <v>837900</v>
      </c>
      <c r="N23" s="204">
        <f>[1]Субвенция_факт!O24*1000</f>
        <v>251250</v>
      </c>
      <c r="O23" s="1382">
        <v>100000</v>
      </c>
      <c r="P23" s="204">
        <f>[1]Субвенция_факт!Q24*1000</f>
        <v>675400</v>
      </c>
      <c r="Q23" s="1382">
        <v>384000</v>
      </c>
      <c r="R23" s="204">
        <f>[1]Субвенция_факт!R24*1000</f>
        <v>3599800</v>
      </c>
      <c r="S23" s="1382">
        <v>2700000</v>
      </c>
      <c r="T23" s="204">
        <f>[1]Субвенция_факт!S24*1000</f>
        <v>465600</v>
      </c>
      <c r="U23" s="1382">
        <v>465600</v>
      </c>
      <c r="V23" s="204">
        <f>[1]Субвенция_факт!T24*1000</f>
        <v>102668000</v>
      </c>
      <c r="W23" s="1382">
        <v>81000000</v>
      </c>
      <c r="X23" s="204">
        <f>[1]Субвенция_факт!U24*1000</f>
        <v>255171371</v>
      </c>
      <c r="Y23" s="1382">
        <v>209000000</v>
      </c>
      <c r="Z23" s="204">
        <f>[1]Субвенция_факт!V24*1000</f>
        <v>857000</v>
      </c>
      <c r="AA23" s="1382">
        <v>600000</v>
      </c>
      <c r="AB23" s="204">
        <f>[1]Субвенция_факт!W24*1000</f>
        <v>10500</v>
      </c>
      <c r="AC23" s="1382">
        <v>6000</v>
      </c>
      <c r="AD23" s="204">
        <f>[1]Субвенция_факт!X24*1000</f>
        <v>1848000</v>
      </c>
      <c r="AE23" s="1382">
        <v>1750000</v>
      </c>
      <c r="AF23" s="204">
        <f>[1]Субвенция_факт!Y24*1000</f>
        <v>0</v>
      </c>
      <c r="AG23" s="711"/>
      <c r="AH23" s="204">
        <f>[1]Субвенция_факт!Z24*1000</f>
        <v>1183000</v>
      </c>
      <c r="AI23" s="1382">
        <v>720000</v>
      </c>
      <c r="AJ23" s="204">
        <f>[1]Субвенция_факт!AA24*1000</f>
        <v>390500</v>
      </c>
      <c r="AK23" s="1382">
        <v>239620.76</v>
      </c>
      <c r="AL23" s="204">
        <f>[1]Субвенция_факт!AF24*1000</f>
        <v>901300</v>
      </c>
      <c r="AM23" s="1382">
        <v>675975</v>
      </c>
      <c r="AP23" s="400"/>
      <c r="AQ23" s="259"/>
      <c r="AR23" s="259"/>
      <c r="AS23" s="259"/>
    </row>
    <row r="24" spans="1:45" ht="21" customHeight="1" x14ac:dyDescent="0.3">
      <c r="A24" s="398" t="s">
        <v>104</v>
      </c>
      <c r="B24" s="260">
        <f t="shared" si="0"/>
        <v>198161858</v>
      </c>
      <c r="C24" s="260">
        <f t="shared" si="1"/>
        <v>169323950</v>
      </c>
      <c r="D24" s="204">
        <f>[1]Субвенция_факт!I25*1000</f>
        <v>0</v>
      </c>
      <c r="E24" s="978"/>
      <c r="F24" s="204">
        <f>[1]Субвенция_факт!J25*1000</f>
        <v>1950000</v>
      </c>
      <c r="G24" s="1382">
        <v>1333000</v>
      </c>
      <c r="H24" s="204">
        <f>[1]Субвенция_факт!L25*1000</f>
        <v>7791000</v>
      </c>
      <c r="I24" s="1382">
        <v>4250000</v>
      </c>
      <c r="J24" s="204">
        <f>[1]Субвенция_факт!M25*1000</f>
        <v>1635670</v>
      </c>
      <c r="K24" s="1382">
        <v>1500000</v>
      </c>
      <c r="L24" s="204">
        <f>[1]Субвенция_факт!N25*1000</f>
        <v>576000</v>
      </c>
      <c r="M24" s="1382">
        <v>448000</v>
      </c>
      <c r="N24" s="204">
        <f>[1]Субвенция_факт!O25*1000</f>
        <v>100500</v>
      </c>
      <c r="O24" s="1382">
        <v>50250</v>
      </c>
      <c r="P24" s="204">
        <f>[1]Субвенция_факт!Q25*1000</f>
        <v>385900</v>
      </c>
      <c r="Q24" s="1382">
        <v>385900</v>
      </c>
      <c r="R24" s="204">
        <f>[1]Субвенция_факт!R25*1000</f>
        <v>1810700</v>
      </c>
      <c r="S24" s="1382">
        <v>1440000</v>
      </c>
      <c r="T24" s="204">
        <f>[1]Субвенция_факт!S25*1000</f>
        <v>448800</v>
      </c>
      <c r="U24" s="1382">
        <v>448800</v>
      </c>
      <c r="V24" s="204">
        <f>[1]Субвенция_факт!T25*1000</f>
        <v>28272000</v>
      </c>
      <c r="W24" s="1382">
        <v>24000000</v>
      </c>
      <c r="X24" s="204">
        <f>[1]Субвенция_факт!U25*1000</f>
        <v>150121588</v>
      </c>
      <c r="Y24" s="1382">
        <v>131000000</v>
      </c>
      <c r="Z24" s="204">
        <f>[1]Субвенция_факт!V25*1000</f>
        <v>0</v>
      </c>
      <c r="AA24" s="711"/>
      <c r="AB24" s="204">
        <f>[1]Субвенция_факт!W25*1000</f>
        <v>4000</v>
      </c>
      <c r="AC24" s="1382">
        <v>4000</v>
      </c>
      <c r="AD24" s="204">
        <f>[1]Субвенция_факт!X25*1000</f>
        <v>3535000</v>
      </c>
      <c r="AE24" s="1382">
        <v>3320000</v>
      </c>
      <c r="AF24" s="204">
        <f>[1]Субвенция_факт!Y25*1000</f>
        <v>0</v>
      </c>
      <c r="AG24" s="711"/>
      <c r="AH24" s="204">
        <f>[1]Субвенция_факт!Z25*1000</f>
        <v>569200</v>
      </c>
      <c r="AI24" s="1382">
        <v>425000</v>
      </c>
      <c r="AJ24" s="204">
        <f>[1]Субвенция_факт!AA25*1000</f>
        <v>191500</v>
      </c>
      <c r="AK24" s="1382">
        <v>141500</v>
      </c>
      <c r="AL24" s="204">
        <f>[1]Субвенция_факт!AF25*1000</f>
        <v>770000</v>
      </c>
      <c r="AM24" s="1382">
        <v>577500</v>
      </c>
      <c r="AP24" s="400"/>
      <c r="AQ24" s="259"/>
      <c r="AR24" s="259"/>
      <c r="AS24" s="259"/>
    </row>
    <row r="25" spans="1:45" ht="21" customHeight="1" x14ac:dyDescent="0.3">
      <c r="A25" s="398" t="s">
        <v>105</v>
      </c>
      <c r="B25" s="260">
        <f t="shared" si="0"/>
        <v>303648501</v>
      </c>
      <c r="C25" s="260">
        <f t="shared" si="1"/>
        <v>231055841.06</v>
      </c>
      <c r="D25" s="204">
        <f>[1]Субвенция_факт!I26*1000</f>
        <v>0</v>
      </c>
      <c r="E25" s="978"/>
      <c r="F25" s="204">
        <f>[1]Субвенция_факт!J26*1000</f>
        <v>1341000</v>
      </c>
      <c r="G25" s="1382">
        <v>942000</v>
      </c>
      <c r="H25" s="204">
        <f>[1]Субвенция_факт!L26*1000</f>
        <v>13018000</v>
      </c>
      <c r="I25" s="1382">
        <v>6850000</v>
      </c>
      <c r="J25" s="204">
        <f>[1]Субвенция_факт!M26*1000</f>
        <v>3588010</v>
      </c>
      <c r="K25" s="1382">
        <v>3130570</v>
      </c>
      <c r="L25" s="204">
        <f>[1]Субвенция_факт!N26*1000</f>
        <v>1149700</v>
      </c>
      <c r="M25" s="1382">
        <v>864000</v>
      </c>
      <c r="N25" s="204">
        <f>[1]Субвенция_факт!O26*1000</f>
        <v>100500</v>
      </c>
      <c r="O25" s="1382">
        <v>100500</v>
      </c>
      <c r="P25" s="204">
        <f>[1]Субвенция_факт!Q26*1000</f>
        <v>482400</v>
      </c>
      <c r="Q25" s="1382">
        <v>360000</v>
      </c>
      <c r="R25" s="204">
        <f>[1]Субвенция_факт!R26*1000</f>
        <v>2414700</v>
      </c>
      <c r="S25" s="1382">
        <v>1818000</v>
      </c>
      <c r="T25" s="204">
        <f>[1]Субвенция_факт!S26*1000</f>
        <v>461300</v>
      </c>
      <c r="U25" s="1382">
        <v>461300</v>
      </c>
      <c r="V25" s="204">
        <f>[1]Субвенция_факт!T26*1000</f>
        <v>65838000</v>
      </c>
      <c r="W25" s="1382">
        <v>48500000</v>
      </c>
      <c r="X25" s="204">
        <f>[1]Субвенция_факт!U26*1000</f>
        <v>211037391</v>
      </c>
      <c r="Y25" s="1382">
        <v>164500000</v>
      </c>
      <c r="Z25" s="204">
        <f>[1]Субвенция_факт!V26*1000</f>
        <v>0</v>
      </c>
      <c r="AA25" s="711"/>
      <c r="AB25" s="204">
        <f>[1]Субвенция_факт!W26*1000</f>
        <v>13500</v>
      </c>
      <c r="AC25" s="1382">
        <v>13500</v>
      </c>
      <c r="AD25" s="204">
        <f>[1]Субвенция_факт!X26*1000</f>
        <v>2260000</v>
      </c>
      <c r="AE25" s="1382">
        <v>2150000</v>
      </c>
      <c r="AF25" s="204">
        <f>[1]Субвенция_факт!Y26*1000</f>
        <v>0</v>
      </c>
      <c r="AG25" s="711"/>
      <c r="AH25" s="204">
        <f>[1]Субвенция_факт!Z26*1000</f>
        <v>706200</v>
      </c>
      <c r="AI25" s="1382">
        <v>529650</v>
      </c>
      <c r="AJ25" s="204">
        <f>[1]Субвенция_факт!AA26*1000</f>
        <v>355000</v>
      </c>
      <c r="AK25" s="1382">
        <v>174221.06</v>
      </c>
      <c r="AL25" s="204">
        <f>[1]Субвенция_факт!AF26*1000</f>
        <v>882800</v>
      </c>
      <c r="AM25" s="1382">
        <v>662100</v>
      </c>
      <c r="AP25" s="400"/>
      <c r="AQ25" s="259"/>
      <c r="AR25" s="259"/>
      <c r="AS25" s="259"/>
    </row>
    <row r="26" spans="1:45" ht="21" customHeight="1" x14ac:dyDescent="0.3">
      <c r="A26" s="398" t="s">
        <v>5</v>
      </c>
      <c r="B26" s="260">
        <f t="shared" si="0"/>
        <v>739146541</v>
      </c>
      <c r="C26" s="260">
        <f t="shared" si="1"/>
        <v>567009455.25999999</v>
      </c>
      <c r="D26" s="204">
        <f>[1]Субвенция_факт!I29*1000</f>
        <v>1000000</v>
      </c>
      <c r="E26" s="1382">
        <v>1000000</v>
      </c>
      <c r="F26" s="204">
        <f>[1]Субвенция_факт!J29*1000</f>
        <v>0</v>
      </c>
      <c r="G26" s="978"/>
      <c r="H26" s="204">
        <f>[1]Субвенция_факт!L29*1000</f>
        <v>40909000</v>
      </c>
      <c r="I26" s="1382">
        <v>27000000</v>
      </c>
      <c r="J26" s="204">
        <f>[1]Субвенция_факт!M29*1000</f>
        <v>4965130</v>
      </c>
      <c r="K26" s="1382">
        <v>4965130</v>
      </c>
      <c r="L26" s="204">
        <f>[1]Субвенция_факт!N29*1000</f>
        <v>1225700</v>
      </c>
      <c r="M26" s="1382">
        <v>1000000</v>
      </c>
      <c r="N26" s="204">
        <f>[1]Субвенция_факт!O29*1000</f>
        <v>502500</v>
      </c>
      <c r="O26" s="1382">
        <v>301000</v>
      </c>
      <c r="P26" s="204">
        <f>[1]Субвенция_факт!Q29*1000</f>
        <v>1254200</v>
      </c>
      <c r="Q26" s="1382">
        <v>1248000</v>
      </c>
      <c r="R26" s="204">
        <f>[1]Субвенция_факт!R29*1000</f>
        <v>4832100</v>
      </c>
      <c r="S26" s="1382">
        <v>3100000</v>
      </c>
      <c r="T26" s="204">
        <f>[1]Субвенция_факт!S29*1000</f>
        <v>952600</v>
      </c>
      <c r="U26" s="1382">
        <v>952600</v>
      </c>
      <c r="V26" s="204">
        <f>[1]Субвенция_факт!T29*1000</f>
        <v>324539000</v>
      </c>
      <c r="W26" s="1382">
        <v>245000000</v>
      </c>
      <c r="X26" s="204">
        <f>[1]Субвенция_факт!U29*1000</f>
        <v>338665811</v>
      </c>
      <c r="Y26" s="1382">
        <v>265000000</v>
      </c>
      <c r="Z26" s="204">
        <f>[1]Субвенция_факт!V29*1000</f>
        <v>10836000</v>
      </c>
      <c r="AA26" s="1382">
        <v>8700000</v>
      </c>
      <c r="AB26" s="204">
        <f>[1]Субвенция_факт!W29*1000</f>
        <v>25000</v>
      </c>
      <c r="AC26" s="1382">
        <v>0</v>
      </c>
      <c r="AD26" s="204">
        <f>[1]Субвенция_факт!X29*1000</f>
        <v>4093000</v>
      </c>
      <c r="AE26" s="1382">
        <v>3920000</v>
      </c>
      <c r="AF26" s="204">
        <f>[1]Субвенция_факт!Y29*1000</f>
        <v>3000000</v>
      </c>
      <c r="AG26" s="1382">
        <v>3000000</v>
      </c>
      <c r="AH26" s="204">
        <f>[1]Субвенция_факт!Z29*1000</f>
        <v>1212700</v>
      </c>
      <c r="AI26" s="1382">
        <v>900000</v>
      </c>
      <c r="AJ26" s="204">
        <f>[1]Субвенция_факт!AA29*1000</f>
        <v>1133800</v>
      </c>
      <c r="AK26" s="1382">
        <v>922725.26</v>
      </c>
      <c r="AL26" s="204">
        <f>[1]Субвенция_факт!AF29*1000</f>
        <v>0</v>
      </c>
      <c r="AM26" s="978"/>
      <c r="AN26" s="397"/>
      <c r="AP26" s="400"/>
      <c r="AQ26" s="259"/>
      <c r="AR26" s="259"/>
      <c r="AS26" s="259"/>
    </row>
    <row r="27" spans="1:45" ht="21" customHeight="1" x14ac:dyDescent="0.3">
      <c r="A27" s="398" t="s">
        <v>6</v>
      </c>
      <c r="B27" s="260">
        <f t="shared" si="0"/>
        <v>3938550618</v>
      </c>
      <c r="C27" s="260">
        <f t="shared" si="1"/>
        <v>2919406090.27</v>
      </c>
      <c r="D27" s="204">
        <f>[1]Субвенция_факт!I30*1000</f>
        <v>3329300</v>
      </c>
      <c r="E27" s="1382">
        <v>2649994</v>
      </c>
      <c r="F27" s="204">
        <f>[1]Субвенция_факт!J30*1000</f>
        <v>0</v>
      </c>
      <c r="G27" s="978"/>
      <c r="H27" s="204">
        <f>[1]Субвенция_факт!L30*1000</f>
        <v>211688000</v>
      </c>
      <c r="I27" s="1382">
        <v>143596000</v>
      </c>
      <c r="J27" s="204">
        <f>[1]Субвенция_факт!M30*1000</f>
        <v>23820000</v>
      </c>
      <c r="K27" s="1382">
        <v>18000000</v>
      </c>
      <c r="L27" s="204">
        <f>[1]Субвенция_факт!N30*1000</f>
        <v>5851800</v>
      </c>
      <c r="M27" s="1382">
        <v>4080000</v>
      </c>
      <c r="N27" s="204">
        <f>[1]Субвенция_факт!O30*1000</f>
        <v>1005000</v>
      </c>
      <c r="O27" s="1382">
        <v>1000000</v>
      </c>
      <c r="P27" s="204">
        <f>[1]Субвенция_факт!Q30*1000</f>
        <v>6753700</v>
      </c>
      <c r="Q27" s="1382">
        <v>4792000</v>
      </c>
      <c r="R27" s="204">
        <f>[1]Субвенция_факт!R30*1000</f>
        <v>23705300</v>
      </c>
      <c r="S27" s="1382">
        <v>19300600</v>
      </c>
      <c r="T27" s="204">
        <f>[1]Субвенция_факт!S30*1000</f>
        <v>1009100</v>
      </c>
      <c r="U27" s="1382">
        <v>1009100</v>
      </c>
      <c r="V27" s="204">
        <f>[1]Субвенция_факт!T30*1000</f>
        <v>1627560000</v>
      </c>
      <c r="W27" s="1382">
        <v>1219585500</v>
      </c>
      <c r="X27" s="204">
        <f>[1]Субвенция_факт!U30*1000</f>
        <v>1981477018.0000002</v>
      </c>
      <c r="Y27" s="1382">
        <v>1460849488.27</v>
      </c>
      <c r="Z27" s="204">
        <f>[1]Субвенция_факт!V30*1000</f>
        <v>24605000</v>
      </c>
      <c r="AA27" s="1382">
        <v>19553000</v>
      </c>
      <c r="AB27" s="204">
        <f>[1]Субвенция_факт!W30*1000</f>
        <v>102000</v>
      </c>
      <c r="AC27" s="1382">
        <v>0</v>
      </c>
      <c r="AD27" s="204">
        <f>[1]Субвенция_факт!X30*1000</f>
        <v>8606000</v>
      </c>
      <c r="AE27" s="1382">
        <v>8606000</v>
      </c>
      <c r="AF27" s="204">
        <f>[1]Субвенция_факт!Y30*1000</f>
        <v>7000000</v>
      </c>
      <c r="AG27" s="1382">
        <v>7000000</v>
      </c>
      <c r="AH27" s="204">
        <f>[1]Субвенция_факт!Z30*1000</f>
        <v>5594400</v>
      </c>
      <c r="AI27" s="1382">
        <v>4410000</v>
      </c>
      <c r="AJ27" s="204">
        <f>[1]Субвенция_факт!AA30*1000</f>
        <v>6444000</v>
      </c>
      <c r="AK27" s="1382">
        <v>4974408</v>
      </c>
      <c r="AL27" s="204">
        <f>[1]Субвенция_факт!AF30*1000</f>
        <v>0</v>
      </c>
      <c r="AM27" s="978"/>
      <c r="AN27" s="397"/>
      <c r="AP27" s="400"/>
      <c r="AQ27" s="259"/>
      <c r="AR27" s="259"/>
      <c r="AS27" s="259"/>
    </row>
    <row r="28" spans="1:45" s="393" customFormat="1" ht="21" customHeight="1" x14ac:dyDescent="0.3">
      <c r="A28" s="395" t="s">
        <v>43</v>
      </c>
      <c r="B28" s="260">
        <f t="shared" ref="B28:AM28" si="2">SUM(B8:B27)</f>
        <v>9925823100</v>
      </c>
      <c r="C28" s="260">
        <f t="shared" si="2"/>
        <v>7668586817.1299992</v>
      </c>
      <c r="D28" s="260">
        <f>SUM(D8:D27)</f>
        <v>4329300</v>
      </c>
      <c r="E28" s="260">
        <f>SUM(E8:E27)</f>
        <v>3649994</v>
      </c>
      <c r="F28" s="260">
        <f t="shared" si="2"/>
        <v>31666000</v>
      </c>
      <c r="G28" s="260">
        <f t="shared" si="2"/>
        <v>21749482</v>
      </c>
      <c r="H28" s="260">
        <f>SUM(H8:H27)</f>
        <v>465429000</v>
      </c>
      <c r="I28" s="260">
        <f>SUM(I8:I27)</f>
        <v>309701900</v>
      </c>
      <c r="J28" s="260">
        <f>SUM(J8:J27)</f>
        <v>71254200</v>
      </c>
      <c r="K28" s="260">
        <f>SUM(K8:K27)</f>
        <v>64259610</v>
      </c>
      <c r="L28" s="260">
        <f t="shared" si="2"/>
        <v>23654600</v>
      </c>
      <c r="M28" s="260">
        <f t="shared" si="2"/>
        <v>17703209</v>
      </c>
      <c r="N28" s="260">
        <f t="shared" si="2"/>
        <v>4271300</v>
      </c>
      <c r="O28" s="260">
        <f t="shared" si="2"/>
        <v>2154250</v>
      </c>
      <c r="P28" s="260">
        <f t="shared" ref="P28:R28" si="3">SUM(P8:P27)</f>
        <v>16015800</v>
      </c>
      <c r="Q28" s="260">
        <f t="shared" si="3"/>
        <v>11643300</v>
      </c>
      <c r="R28" s="260">
        <f t="shared" si="3"/>
        <v>76142400</v>
      </c>
      <c r="S28" s="260">
        <f>SUM(S8:S27)</f>
        <v>60292746</v>
      </c>
      <c r="T28" s="260">
        <f t="shared" si="2"/>
        <v>11051500</v>
      </c>
      <c r="U28" s="260">
        <f t="shared" si="2"/>
        <v>11051500</v>
      </c>
      <c r="V28" s="260">
        <f>SUM(V8:V27)</f>
        <v>3085709000</v>
      </c>
      <c r="W28" s="260">
        <f>SUM(W8:W27)</f>
        <v>2381292500</v>
      </c>
      <c r="X28" s="260">
        <f t="shared" si="2"/>
        <v>5993198400</v>
      </c>
      <c r="Y28" s="260">
        <f t="shared" si="2"/>
        <v>4663248088.2700005</v>
      </c>
      <c r="Z28" s="260">
        <f t="shared" si="2"/>
        <v>36298000</v>
      </c>
      <c r="AA28" s="260">
        <f t="shared" si="2"/>
        <v>28853000</v>
      </c>
      <c r="AB28" s="260">
        <f>SUM(AB8:AB27)</f>
        <v>245000</v>
      </c>
      <c r="AC28" s="260">
        <f>SUM(AC8:AC27)</f>
        <v>45000</v>
      </c>
      <c r="AD28" s="260">
        <f t="shared" si="2"/>
        <v>49810000</v>
      </c>
      <c r="AE28" s="260">
        <f t="shared" si="2"/>
        <v>48152000</v>
      </c>
      <c r="AF28" s="260">
        <f t="shared" si="2"/>
        <v>10000000</v>
      </c>
      <c r="AG28" s="260">
        <f t="shared" si="2"/>
        <v>10000000</v>
      </c>
      <c r="AH28" s="260">
        <f t="shared" si="2"/>
        <v>18577600</v>
      </c>
      <c r="AI28" s="260">
        <f t="shared" si="2"/>
        <v>13817950</v>
      </c>
      <c r="AJ28" s="260">
        <f>SUM(AJ8:AJ27)</f>
        <v>13500000</v>
      </c>
      <c r="AK28" s="260">
        <f>SUM(AK8:AK27)</f>
        <v>9969037.8599999994</v>
      </c>
      <c r="AL28" s="260">
        <f t="shared" si="2"/>
        <v>14671000</v>
      </c>
      <c r="AM28" s="260">
        <f t="shared" si="2"/>
        <v>11003250</v>
      </c>
      <c r="AP28" s="400"/>
      <c r="AQ28" s="259"/>
      <c r="AR28" s="259"/>
      <c r="AS28" s="259"/>
    </row>
    <row r="29" spans="1:45" x14ac:dyDescent="0.3">
      <c r="B29" s="406"/>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P29" s="400"/>
      <c r="AQ29" s="259"/>
      <c r="AR29" s="259"/>
      <c r="AS29" s="259"/>
    </row>
    <row r="30" spans="1:45" x14ac:dyDescent="0.3">
      <c r="B30" s="406"/>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P30" s="400"/>
      <c r="AQ30" s="259"/>
      <c r="AR30" s="259"/>
      <c r="AS30" s="259"/>
    </row>
    <row r="31" spans="1:45" ht="21" customHeight="1" x14ac:dyDescent="0.3">
      <c r="A31" s="403" t="s">
        <v>68</v>
      </c>
      <c r="B31" s="402">
        <f t="shared" ref="B31:AM31" si="4">SUM(B8:B25)</f>
        <v>5248125941</v>
      </c>
      <c r="C31" s="402">
        <f t="shared" si="4"/>
        <v>4182171271.5999999</v>
      </c>
      <c r="D31" s="402">
        <f>SUM(D8:D25)</f>
        <v>0</v>
      </c>
      <c r="E31" s="402">
        <f>SUM(E8:E25)</f>
        <v>0</v>
      </c>
      <c r="F31" s="402">
        <f t="shared" si="4"/>
        <v>31666000</v>
      </c>
      <c r="G31" s="402">
        <f t="shared" si="4"/>
        <v>21749482</v>
      </c>
      <c r="H31" s="402">
        <f>SUM(H8:H25)</f>
        <v>212832000</v>
      </c>
      <c r="I31" s="402">
        <f>SUM(I8:I25)</f>
        <v>139105900</v>
      </c>
      <c r="J31" s="402">
        <f>SUM(J8:J25)</f>
        <v>42469070</v>
      </c>
      <c r="K31" s="402">
        <f>SUM(K8:K25)</f>
        <v>41294480</v>
      </c>
      <c r="L31" s="402">
        <f t="shared" si="4"/>
        <v>16577100</v>
      </c>
      <c r="M31" s="402">
        <f t="shared" si="4"/>
        <v>12623209</v>
      </c>
      <c r="N31" s="402">
        <f t="shared" si="4"/>
        <v>2763800</v>
      </c>
      <c r="O31" s="402">
        <f t="shared" si="4"/>
        <v>853250</v>
      </c>
      <c r="P31" s="402">
        <f t="shared" ref="P31:R31" si="5">SUM(P8:P25)</f>
        <v>8007900</v>
      </c>
      <c r="Q31" s="402">
        <f t="shared" si="5"/>
        <v>5603300</v>
      </c>
      <c r="R31" s="402">
        <f t="shared" si="5"/>
        <v>47605000</v>
      </c>
      <c r="S31" s="402">
        <f>SUM(S8:S25)</f>
        <v>37892146</v>
      </c>
      <c r="T31" s="402">
        <f t="shared" si="4"/>
        <v>9089800</v>
      </c>
      <c r="U31" s="402">
        <f t="shared" si="4"/>
        <v>9089800</v>
      </c>
      <c r="V31" s="402">
        <f>SUM(V8:V25)</f>
        <v>1133610000</v>
      </c>
      <c r="W31" s="402">
        <f>SUM(W8:W25)</f>
        <v>916707000</v>
      </c>
      <c r="X31" s="402">
        <f t="shared" si="4"/>
        <v>3673055571</v>
      </c>
      <c r="Y31" s="402">
        <f t="shared" si="4"/>
        <v>2937398600</v>
      </c>
      <c r="Z31" s="402">
        <f t="shared" si="4"/>
        <v>857000</v>
      </c>
      <c r="AA31" s="402">
        <f t="shared" si="4"/>
        <v>600000</v>
      </c>
      <c r="AB31" s="402">
        <f>SUM(AB8:AB25)</f>
        <v>118000</v>
      </c>
      <c r="AC31" s="402">
        <f>SUM(AC8:AC25)</f>
        <v>45000</v>
      </c>
      <c r="AD31" s="402">
        <f t="shared" si="4"/>
        <v>37111000</v>
      </c>
      <c r="AE31" s="402">
        <f t="shared" si="4"/>
        <v>35626000</v>
      </c>
      <c r="AF31" s="402">
        <f t="shared" si="4"/>
        <v>0</v>
      </c>
      <c r="AG31" s="402">
        <f t="shared" si="4"/>
        <v>0</v>
      </c>
      <c r="AH31" s="402">
        <f t="shared" si="4"/>
        <v>11770500</v>
      </c>
      <c r="AI31" s="402">
        <f t="shared" si="4"/>
        <v>8507950</v>
      </c>
      <c r="AJ31" s="402">
        <f>SUM(AJ8:AJ25)</f>
        <v>5922200</v>
      </c>
      <c r="AK31" s="402">
        <f>SUM(AK8:AK25)</f>
        <v>4071904.6</v>
      </c>
      <c r="AL31" s="402">
        <f t="shared" si="4"/>
        <v>14671000</v>
      </c>
      <c r="AM31" s="402">
        <f t="shared" si="4"/>
        <v>11003250</v>
      </c>
      <c r="AP31" s="400"/>
      <c r="AQ31" s="259"/>
      <c r="AR31" s="259"/>
      <c r="AS31" s="259"/>
    </row>
    <row r="32" spans="1:45" ht="21" customHeight="1" x14ac:dyDescent="0.3">
      <c r="A32" s="403" t="s">
        <v>137</v>
      </c>
      <c r="B32" s="402">
        <f t="shared" ref="B32:AM32" si="6">SUM(B26:B27)</f>
        <v>4677697159</v>
      </c>
      <c r="C32" s="402">
        <f t="shared" si="6"/>
        <v>3486415545.5299997</v>
      </c>
      <c r="D32" s="402">
        <f>SUM(D26:D27)</f>
        <v>4329300</v>
      </c>
      <c r="E32" s="402">
        <f>SUM(E26:E27)</f>
        <v>3649994</v>
      </c>
      <c r="F32" s="402">
        <f t="shared" si="6"/>
        <v>0</v>
      </c>
      <c r="G32" s="402">
        <f t="shared" si="6"/>
        <v>0</v>
      </c>
      <c r="H32" s="402">
        <f>SUM(H26:H27)</f>
        <v>252597000</v>
      </c>
      <c r="I32" s="402">
        <f>SUM(I26:I27)</f>
        <v>170596000</v>
      </c>
      <c r="J32" s="402">
        <f>SUM(J26:J27)</f>
        <v>28785130</v>
      </c>
      <c r="K32" s="402">
        <f>SUM(K26:K27)</f>
        <v>22965130</v>
      </c>
      <c r="L32" s="402">
        <f t="shared" si="6"/>
        <v>7077500</v>
      </c>
      <c r="M32" s="402">
        <f t="shared" si="6"/>
        <v>5080000</v>
      </c>
      <c r="N32" s="402">
        <f t="shared" si="6"/>
        <v>1507500</v>
      </c>
      <c r="O32" s="402">
        <f t="shared" si="6"/>
        <v>1301000</v>
      </c>
      <c r="P32" s="402">
        <f t="shared" ref="P32:R32" si="7">SUM(P26:P27)</f>
        <v>8007900</v>
      </c>
      <c r="Q32" s="402">
        <f t="shared" si="7"/>
        <v>6040000</v>
      </c>
      <c r="R32" s="402">
        <f t="shared" si="7"/>
        <v>28537400</v>
      </c>
      <c r="S32" s="402">
        <f>SUM(S26:S27)</f>
        <v>22400600</v>
      </c>
      <c r="T32" s="402">
        <f t="shared" si="6"/>
        <v>1961700</v>
      </c>
      <c r="U32" s="402">
        <f t="shared" si="6"/>
        <v>1961700</v>
      </c>
      <c r="V32" s="402">
        <f>SUM(V26:V27)</f>
        <v>1952099000</v>
      </c>
      <c r="W32" s="402">
        <f>SUM(W26:W27)</f>
        <v>1464585500</v>
      </c>
      <c r="X32" s="402">
        <f t="shared" si="6"/>
        <v>2320142829</v>
      </c>
      <c r="Y32" s="402">
        <f t="shared" si="6"/>
        <v>1725849488.27</v>
      </c>
      <c r="Z32" s="402">
        <f t="shared" si="6"/>
        <v>35441000</v>
      </c>
      <c r="AA32" s="402">
        <f t="shared" si="6"/>
        <v>28253000</v>
      </c>
      <c r="AB32" s="402">
        <f>SUM(AB26:AB27)</f>
        <v>127000</v>
      </c>
      <c r="AC32" s="402">
        <f>SUM(AC26:AC27)</f>
        <v>0</v>
      </c>
      <c r="AD32" s="402">
        <f t="shared" si="6"/>
        <v>12699000</v>
      </c>
      <c r="AE32" s="402">
        <f t="shared" si="6"/>
        <v>12526000</v>
      </c>
      <c r="AF32" s="402">
        <f t="shared" si="6"/>
        <v>10000000</v>
      </c>
      <c r="AG32" s="402">
        <f t="shared" si="6"/>
        <v>10000000</v>
      </c>
      <c r="AH32" s="402">
        <f t="shared" si="6"/>
        <v>6807100</v>
      </c>
      <c r="AI32" s="402">
        <f t="shared" si="6"/>
        <v>5310000</v>
      </c>
      <c r="AJ32" s="402">
        <f>SUM(AJ26:AJ27)</f>
        <v>7577800</v>
      </c>
      <c r="AK32" s="402">
        <f>SUM(AK26:AK27)</f>
        <v>5897133.2599999998</v>
      </c>
      <c r="AL32" s="402">
        <f t="shared" si="6"/>
        <v>0</v>
      </c>
      <c r="AM32" s="402">
        <f t="shared" si="6"/>
        <v>0</v>
      </c>
      <c r="AP32" s="400"/>
      <c r="AQ32" s="259"/>
      <c r="AR32" s="259"/>
      <c r="AS32" s="259"/>
    </row>
    <row r="33" spans="1:45" ht="17.25" customHeight="1" x14ac:dyDescent="0.3">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P33" s="400"/>
      <c r="AQ33" s="259"/>
      <c r="AR33" s="259"/>
      <c r="AS33" s="259"/>
    </row>
    <row r="34" spans="1:45" ht="17.25" customHeight="1" x14ac:dyDescent="0.3">
      <c r="A34" s="401"/>
      <c r="AP34" s="400"/>
      <c r="AQ34" s="259"/>
      <c r="AR34" s="259"/>
      <c r="AS34" s="259"/>
    </row>
    <row r="35" spans="1:45" ht="17.25" customHeight="1" x14ac:dyDescent="0.3">
      <c r="A35" s="401"/>
      <c r="AP35" s="400"/>
      <c r="AQ35" s="259"/>
      <c r="AR35" s="259"/>
      <c r="AS35" s="259"/>
    </row>
    <row r="36" spans="1:45" x14ac:dyDescent="0.3">
      <c r="A36" s="401"/>
      <c r="B36" s="405"/>
      <c r="C36" s="405"/>
      <c r="D36" s="405"/>
      <c r="E36" s="405"/>
      <c r="AP36" s="400"/>
      <c r="AQ36" s="259"/>
      <c r="AR36" s="259"/>
      <c r="AS36" s="259"/>
    </row>
    <row r="37" spans="1:45" ht="17.25" customHeight="1" x14ac:dyDescent="0.3">
      <c r="A37" s="401"/>
      <c r="B37" s="405"/>
      <c r="C37" s="405"/>
      <c r="D37" s="405"/>
      <c r="E37" s="405"/>
      <c r="AP37" s="400"/>
      <c r="AQ37" s="259"/>
      <c r="AR37" s="259"/>
      <c r="AS37" s="259"/>
    </row>
    <row r="38" spans="1:45" ht="17.25" customHeight="1" x14ac:dyDescent="0.3">
      <c r="A38" s="401"/>
      <c r="B38" s="405"/>
      <c r="C38" s="405"/>
      <c r="D38" s="405"/>
      <c r="E38" s="405"/>
      <c r="AP38" s="400"/>
      <c r="AQ38" s="259"/>
      <c r="AR38" s="259"/>
      <c r="AS38" s="259"/>
    </row>
    <row r="39" spans="1:45" ht="17.25" customHeight="1" x14ac:dyDescent="0.3">
      <c r="A39" s="401"/>
      <c r="B39" s="405"/>
      <c r="C39" s="405"/>
      <c r="D39" s="405"/>
      <c r="E39" s="405"/>
      <c r="AP39" s="400"/>
      <c r="AQ39" s="259"/>
      <c r="AR39" s="259"/>
      <c r="AS39" s="259"/>
    </row>
    <row r="40" spans="1:45" ht="17.25" customHeight="1" x14ac:dyDescent="0.3">
      <c r="AP40" s="400"/>
      <c r="AQ40" s="259"/>
      <c r="AR40" s="259"/>
      <c r="AS40" s="259"/>
    </row>
    <row r="41" spans="1:45" ht="17.25" customHeight="1" x14ac:dyDescent="0.3">
      <c r="AP41" s="400"/>
      <c r="AQ41" s="259"/>
      <c r="AR41" s="259"/>
      <c r="AS41" s="259"/>
    </row>
    <row r="42" spans="1:45" ht="17.25" customHeight="1" x14ac:dyDescent="0.3">
      <c r="AP42" s="400"/>
      <c r="AQ42" s="259"/>
      <c r="AR42" s="259"/>
      <c r="AS42" s="259"/>
    </row>
    <row r="43" spans="1:45" ht="17.25" customHeight="1" x14ac:dyDescent="0.3">
      <c r="AP43" s="400"/>
      <c r="AQ43" s="259"/>
      <c r="AR43" s="259"/>
      <c r="AS43" s="259"/>
    </row>
    <row r="44" spans="1:45" ht="17.25" customHeight="1" x14ac:dyDescent="0.3">
      <c r="AP44" s="396"/>
      <c r="AQ44" s="394"/>
      <c r="AR44" s="394"/>
      <c r="AS44" s="394"/>
    </row>
  </sheetData>
  <mergeCells count="40">
    <mergeCell ref="AJ5:AK5"/>
    <mergeCell ref="AJ6:AK6"/>
    <mergeCell ref="AF5:AG5"/>
    <mergeCell ref="AF6:AG6"/>
    <mergeCell ref="Z5:AA5"/>
    <mergeCell ref="AD5:AE5"/>
    <mergeCell ref="AH5:AI5"/>
    <mergeCell ref="V5:W5"/>
    <mergeCell ref="AB5:AC5"/>
    <mergeCell ref="Z6:AA6"/>
    <mergeCell ref="T6:U6"/>
    <mergeCell ref="X5:Y5"/>
    <mergeCell ref="X6:Y6"/>
    <mergeCell ref="V6:W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C2:H2"/>
    <mergeCell ref="I2:K2"/>
    <mergeCell ref="A5:A6"/>
    <mergeCell ref="B5:C6"/>
    <mergeCell ref="F5:G5"/>
    <mergeCell ref="H6:I6"/>
    <mergeCell ref="H5:I5"/>
    <mergeCell ref="F6:G6"/>
    <mergeCell ref="D5:E5"/>
    <mergeCell ref="D6:E6"/>
  </mergeCells>
  <phoneticPr fontId="0" type="noConversion"/>
  <pageMargins left="0.78740157480314965" right="0.39370078740157483" top="0.78740157480314965" bottom="0.59055118110236227" header="0.51181102362204722" footer="0.51181102362204722"/>
  <pageSetup paperSize="9" scale="47"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L78"/>
  <sheetViews>
    <sheetView topLeftCell="A2" zoomScale="60" zoomScaleNormal="60" workbookViewId="0">
      <pane xSplit="1" ySplit="9" topLeftCell="B27" activePane="bottomRight" state="frozen"/>
      <selection activeCell="D27" sqref="D27"/>
      <selection pane="topRight" activeCell="D27" sqref="D27"/>
      <selection pane="bottomLeft" activeCell="D27" sqref="D27"/>
      <selection pane="bottomRight" activeCell="J48" sqref="J48:K54"/>
    </sheetView>
  </sheetViews>
  <sheetFormatPr defaultRowHeight="13.2" x14ac:dyDescent="0.25"/>
  <cols>
    <col min="1" max="1" width="24.5546875" customWidth="1"/>
    <col min="2" max="2" width="22.44140625" customWidth="1"/>
    <col min="3" max="4" width="21.5546875" customWidth="1"/>
    <col min="5" max="5" width="22.44140625" customWidth="1"/>
    <col min="6" max="6" width="20.77734375" customWidth="1"/>
    <col min="7" max="7" width="19.21875" hidden="1" customWidth="1"/>
    <col min="8" max="8" width="22" customWidth="1"/>
    <col min="9" max="9" width="20.44140625" customWidth="1"/>
    <col min="10" max="10" width="22.5546875" customWidth="1"/>
    <col min="11" max="11" width="21.77734375" customWidth="1"/>
    <col min="12" max="12" width="20.77734375" customWidth="1"/>
    <col min="13" max="13" width="18.44140625" hidden="1" customWidth="1"/>
    <col min="14" max="14" width="22" customWidth="1"/>
    <col min="15" max="16" width="20.5546875" customWidth="1"/>
    <col min="17" max="17" width="18.44140625" customWidth="1"/>
    <col min="18" max="18" width="18.5546875" customWidth="1"/>
    <col min="19" max="19" width="17.44140625" hidden="1" customWidth="1"/>
    <col min="20" max="20" width="20.5546875" customWidth="1"/>
    <col min="21" max="22" width="19" customWidth="1"/>
    <col min="23" max="23" width="18" customWidth="1"/>
    <col min="24" max="24" width="19.77734375" customWidth="1"/>
    <col min="25" max="25" width="17.44140625" hidden="1" customWidth="1"/>
    <col min="26" max="26" width="19.21875" customWidth="1"/>
    <col min="27" max="27" width="19.77734375" customWidth="1"/>
    <col min="28" max="28" width="19" customWidth="1"/>
    <col min="29" max="29" width="17.44140625" customWidth="1"/>
    <col min="30" max="30" width="18.5546875" customWidth="1"/>
    <col min="31" max="31" width="17.44140625" hidden="1" customWidth="1"/>
    <col min="32" max="32" width="22" customWidth="1"/>
    <col min="33" max="33" width="21.21875" customWidth="1"/>
    <col min="34" max="35" width="20.5546875" customWidth="1"/>
    <col min="36" max="36" width="19.5546875" customWidth="1"/>
    <col min="37" max="37" width="18" hidden="1" customWidth="1"/>
    <col min="38" max="38" width="21.44140625" customWidth="1"/>
    <col min="39" max="39" width="21.21875" customWidth="1"/>
    <col min="40" max="40" width="20.77734375" customWidth="1"/>
    <col min="41" max="41" width="20.5546875" customWidth="1"/>
    <col min="42" max="42" width="19.5546875" customWidth="1"/>
    <col min="43" max="43" width="17.44140625" hidden="1" customWidth="1"/>
    <col min="44" max="44" width="20.77734375" customWidth="1"/>
    <col min="45" max="45" width="18.77734375" customWidth="1"/>
    <col min="46" max="46" width="20" customWidth="1"/>
    <col min="47" max="47" width="18.5546875" customWidth="1"/>
    <col min="48" max="48" width="18.44140625" customWidth="1"/>
    <col min="49" max="49" width="17.5546875" hidden="1" customWidth="1"/>
    <col min="50" max="50" width="19.5546875" bestFit="1" customWidth="1"/>
    <col min="51" max="51" width="18.5546875" bestFit="1" customWidth="1"/>
    <col min="52" max="52" width="18.77734375" customWidth="1"/>
    <col min="53" max="53" width="18.21875" customWidth="1"/>
    <col min="54" max="54" width="18.5546875" customWidth="1"/>
    <col min="55" max="55" width="16.5546875" hidden="1" customWidth="1"/>
    <col min="56" max="56" width="19.21875" customWidth="1"/>
    <col min="57" max="57" width="18.5546875" customWidth="1"/>
    <col min="58" max="58" width="19.44140625" customWidth="1"/>
    <col min="59" max="59" width="16.5546875" customWidth="1"/>
    <col min="60" max="60" width="19.5546875" customWidth="1"/>
    <col min="61" max="61" width="16.5546875" hidden="1" customWidth="1"/>
    <col min="63" max="63" width="17.33203125" bestFit="1" customWidth="1"/>
    <col min="64" max="64" width="15.5546875" bestFit="1" customWidth="1"/>
  </cols>
  <sheetData>
    <row r="1" spans="1:64"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4" ht="16.8" x14ac:dyDescent="0.3">
      <c r="A2" s="1"/>
      <c r="D2" s="2" t="s">
        <v>34</v>
      </c>
      <c r="H2" s="3"/>
      <c r="I2" s="3"/>
      <c r="J2" s="3"/>
      <c r="K2" s="1"/>
      <c r="L2" s="1"/>
      <c r="M2" s="1"/>
      <c r="N2" s="1"/>
      <c r="O2" s="1"/>
      <c r="P2" s="1"/>
      <c r="Q2" s="1"/>
      <c r="R2" s="1"/>
      <c r="S2" s="1"/>
      <c r="T2" s="1"/>
      <c r="U2" s="1"/>
      <c r="V2" s="1"/>
      <c r="W2" s="1"/>
      <c r="X2" s="1"/>
      <c r="Y2" s="1"/>
      <c r="Z2" s="1"/>
      <c r="AA2" s="1"/>
      <c r="AB2" s="1"/>
      <c r="AC2" s="1"/>
      <c r="AD2" s="1"/>
      <c r="AE2" s="1"/>
    </row>
    <row r="3" spans="1:64" ht="16.8" x14ac:dyDescent="0.3">
      <c r="A3" s="1"/>
      <c r="D3" s="2"/>
      <c r="E3" s="4" t="str">
        <f>'Проверочная  таблица'!G3</f>
        <v>ПО  СОСТОЯНИЮ  НА  1  ОКТЯБРЯ  2019  ГОДА</v>
      </c>
      <c r="F3" s="4"/>
      <c r="H3" s="3"/>
      <c r="I3" s="3"/>
      <c r="J3" s="3"/>
      <c r="K3" s="1"/>
      <c r="L3" s="1"/>
      <c r="M3" s="1"/>
      <c r="N3" s="1"/>
      <c r="O3" s="1"/>
      <c r="P3" s="1"/>
      <c r="Q3" s="1"/>
      <c r="R3" s="1"/>
      <c r="S3" s="1"/>
      <c r="T3" s="1"/>
      <c r="U3" s="1"/>
      <c r="V3" s="1"/>
      <c r="W3" s="1"/>
      <c r="X3" s="1"/>
      <c r="Y3" s="1"/>
      <c r="Z3" s="1"/>
      <c r="AA3" s="1"/>
      <c r="AB3" s="1"/>
      <c r="AC3" s="1"/>
      <c r="AD3" s="1"/>
      <c r="AE3" s="1"/>
    </row>
    <row r="4" spans="1:64"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4" ht="14.4" thickBot="1" x14ac:dyDescent="0.3">
      <c r="A5" s="1"/>
      <c r="B5" s="1"/>
      <c r="C5" s="1"/>
      <c r="D5" s="1"/>
      <c r="E5" s="1"/>
      <c r="F5" s="1"/>
      <c r="G5" s="1"/>
      <c r="H5" s="1"/>
      <c r="I5" s="1"/>
      <c r="J5" s="1"/>
      <c r="K5" s="1"/>
      <c r="L5" s="1"/>
      <c r="M5" s="1"/>
      <c r="AM5" s="1"/>
      <c r="AN5" s="1"/>
      <c r="AO5" s="1"/>
      <c r="AP5" s="1"/>
      <c r="AQ5" s="1"/>
      <c r="AU5" s="5" t="s">
        <v>22</v>
      </c>
      <c r="AV5" s="5"/>
    </row>
    <row r="6" spans="1:64" ht="18" customHeight="1" x14ac:dyDescent="0.25">
      <c r="A6" s="1672" t="s">
        <v>13</v>
      </c>
      <c r="B6" s="1666" t="s">
        <v>14</v>
      </c>
      <c r="C6" s="1667"/>
      <c r="D6" s="1667"/>
      <c r="E6" s="1667"/>
      <c r="F6" s="1667"/>
      <c r="G6" s="1667"/>
      <c r="H6" s="1667"/>
      <c r="I6" s="1667"/>
      <c r="J6" s="1667"/>
      <c r="K6" s="1667"/>
      <c r="L6" s="1667"/>
      <c r="M6" s="1667"/>
      <c r="N6" s="1667"/>
      <c r="O6" s="1667"/>
      <c r="P6" s="1667"/>
      <c r="Q6" s="1667"/>
      <c r="R6" s="1667"/>
      <c r="S6" s="1667"/>
      <c r="T6" s="1667"/>
      <c r="U6" s="1667"/>
      <c r="V6" s="1667"/>
      <c r="W6" s="1667"/>
      <c r="X6" s="1667"/>
      <c r="Y6" s="1667"/>
      <c r="Z6" s="1667"/>
      <c r="AA6" s="1667"/>
      <c r="AB6" s="1667"/>
      <c r="AC6" s="1667"/>
      <c r="AD6" s="1667"/>
      <c r="AE6" s="1668"/>
      <c r="AF6" s="1666" t="s">
        <v>15</v>
      </c>
      <c r="AG6" s="1667"/>
      <c r="AH6" s="1667"/>
      <c r="AI6" s="1667"/>
      <c r="AJ6" s="1667"/>
      <c r="AK6" s="1667"/>
      <c r="AL6" s="1667"/>
      <c r="AM6" s="1667"/>
      <c r="AN6" s="1667"/>
      <c r="AO6" s="1667"/>
      <c r="AP6" s="1667"/>
      <c r="AQ6" s="1667"/>
      <c r="AR6" s="1667"/>
      <c r="AS6" s="1667"/>
      <c r="AT6" s="1667"/>
      <c r="AU6" s="1667"/>
      <c r="AV6" s="1667"/>
      <c r="AW6" s="1667"/>
      <c r="AX6" s="1667"/>
      <c r="AY6" s="1667"/>
      <c r="AZ6" s="1667"/>
      <c r="BA6" s="1667"/>
      <c r="BB6" s="1667"/>
      <c r="BC6" s="1667"/>
      <c r="BD6" s="1667"/>
      <c r="BE6" s="1667"/>
      <c r="BF6" s="1667"/>
      <c r="BG6" s="1667"/>
      <c r="BH6" s="1667"/>
      <c r="BI6" s="1668"/>
    </row>
    <row r="7" spans="1:64" ht="18" customHeight="1" thickBot="1" x14ac:dyDescent="0.3">
      <c r="A7" s="1674"/>
      <c r="B7" s="1669"/>
      <c r="C7" s="1670"/>
      <c r="D7" s="1670"/>
      <c r="E7" s="1670"/>
      <c r="F7" s="1670"/>
      <c r="G7" s="1670"/>
      <c r="H7" s="1670"/>
      <c r="I7" s="1670"/>
      <c r="J7" s="1670"/>
      <c r="K7" s="1670"/>
      <c r="L7" s="1670"/>
      <c r="M7" s="1670"/>
      <c r="N7" s="1670"/>
      <c r="O7" s="1670"/>
      <c r="P7" s="1670"/>
      <c r="Q7" s="1670"/>
      <c r="R7" s="1670"/>
      <c r="S7" s="1670"/>
      <c r="T7" s="1670"/>
      <c r="U7" s="1670"/>
      <c r="V7" s="1670"/>
      <c r="W7" s="1670"/>
      <c r="X7" s="1670"/>
      <c r="Y7" s="1670"/>
      <c r="Z7" s="1670"/>
      <c r="AA7" s="1670"/>
      <c r="AB7" s="1670"/>
      <c r="AC7" s="1670"/>
      <c r="AD7" s="1670"/>
      <c r="AE7" s="1671"/>
      <c r="AF7" s="1669"/>
      <c r="AG7" s="1670"/>
      <c r="AH7" s="1670"/>
      <c r="AI7" s="1670"/>
      <c r="AJ7" s="1670"/>
      <c r="AK7" s="1670"/>
      <c r="AL7" s="1670"/>
      <c r="AM7" s="1670"/>
      <c r="AN7" s="1670"/>
      <c r="AO7" s="1670"/>
      <c r="AP7" s="1670"/>
      <c r="AQ7" s="1670"/>
      <c r="AR7" s="1670"/>
      <c r="AS7" s="1670"/>
      <c r="AT7" s="1670"/>
      <c r="AU7" s="1670"/>
      <c r="AV7" s="1670"/>
      <c r="AW7" s="1670"/>
      <c r="AX7" s="1670"/>
      <c r="AY7" s="1670"/>
      <c r="AZ7" s="1670"/>
      <c r="BA7" s="1670"/>
      <c r="BB7" s="1670"/>
      <c r="BC7" s="1670"/>
      <c r="BD7" s="1670"/>
      <c r="BE7" s="1670"/>
      <c r="BF7" s="1670"/>
      <c r="BG7" s="1670"/>
      <c r="BH7" s="1670"/>
      <c r="BI7" s="1671"/>
    </row>
    <row r="8" spans="1:64" ht="18" customHeight="1" thickBot="1" x14ac:dyDescent="0.3">
      <c r="A8" s="1674"/>
      <c r="B8" s="1672" t="s">
        <v>16</v>
      </c>
      <c r="C8" s="1666" t="s">
        <v>44</v>
      </c>
      <c r="D8" s="1667"/>
      <c r="E8" s="1667"/>
      <c r="F8" s="1667"/>
      <c r="G8" s="1668"/>
      <c r="H8" s="1678" t="s">
        <v>45</v>
      </c>
      <c r="I8" s="1676"/>
      <c r="J8" s="1676"/>
      <c r="K8" s="1676"/>
      <c r="L8" s="1676"/>
      <c r="M8" s="1676"/>
      <c r="N8" s="1676"/>
      <c r="O8" s="1676"/>
      <c r="P8" s="1676"/>
      <c r="Q8" s="1676"/>
      <c r="R8" s="1676"/>
      <c r="S8" s="1677"/>
      <c r="T8" s="1681" t="s">
        <v>129</v>
      </c>
      <c r="U8" s="1664"/>
      <c r="V8" s="1664"/>
      <c r="W8" s="1664"/>
      <c r="X8" s="1664"/>
      <c r="Y8" s="1665"/>
      <c r="Z8" s="1681" t="s">
        <v>128</v>
      </c>
      <c r="AA8" s="1664"/>
      <c r="AB8" s="1664"/>
      <c r="AC8" s="1664"/>
      <c r="AD8" s="1664"/>
      <c r="AE8" s="1665"/>
      <c r="AF8" s="1672" t="s">
        <v>16</v>
      </c>
      <c r="AG8" s="1666" t="s">
        <v>44</v>
      </c>
      <c r="AH8" s="1667"/>
      <c r="AI8" s="1667"/>
      <c r="AJ8" s="1667"/>
      <c r="AK8" s="1668"/>
      <c r="AL8" s="1678" t="s">
        <v>45</v>
      </c>
      <c r="AM8" s="1676"/>
      <c r="AN8" s="1676"/>
      <c r="AO8" s="1676"/>
      <c r="AP8" s="1676"/>
      <c r="AQ8" s="1676"/>
      <c r="AR8" s="1676"/>
      <c r="AS8" s="1676"/>
      <c r="AT8" s="1676"/>
      <c r="AU8" s="1676"/>
      <c r="AV8" s="1676"/>
      <c r="AW8" s="1677"/>
      <c r="AX8" s="1681" t="s">
        <v>129</v>
      </c>
      <c r="AY8" s="1664"/>
      <c r="AZ8" s="1664"/>
      <c r="BA8" s="1664"/>
      <c r="BB8" s="1664"/>
      <c r="BC8" s="1665"/>
      <c r="BD8" s="1681" t="s">
        <v>128</v>
      </c>
      <c r="BE8" s="1664"/>
      <c r="BF8" s="1664"/>
      <c r="BG8" s="1664"/>
      <c r="BH8" s="1664"/>
      <c r="BI8" s="1665"/>
    </row>
    <row r="9" spans="1:64" ht="18" customHeight="1" thickBot="1" x14ac:dyDescent="0.35">
      <c r="A9" s="1674"/>
      <c r="B9" s="1674"/>
      <c r="C9" s="1669"/>
      <c r="D9" s="1670"/>
      <c r="E9" s="1670"/>
      <c r="F9" s="1670"/>
      <c r="G9" s="1671"/>
      <c r="H9" s="1672" t="s">
        <v>106</v>
      </c>
      <c r="I9" s="1669" t="s">
        <v>107</v>
      </c>
      <c r="J9" s="1670"/>
      <c r="K9" s="1670"/>
      <c r="L9" s="1670"/>
      <c r="M9" s="1670"/>
      <c r="N9" s="1672" t="s">
        <v>108</v>
      </c>
      <c r="O9" s="1676" t="s">
        <v>107</v>
      </c>
      <c r="P9" s="1676"/>
      <c r="Q9" s="1676"/>
      <c r="R9" s="1676"/>
      <c r="S9" s="1677"/>
      <c r="T9" s="1679" t="s">
        <v>108</v>
      </c>
      <c r="U9" s="1664" t="s">
        <v>107</v>
      </c>
      <c r="V9" s="1664"/>
      <c r="W9" s="1664"/>
      <c r="X9" s="1664"/>
      <c r="Y9" s="1665"/>
      <c r="Z9" s="1679" t="s">
        <v>108</v>
      </c>
      <c r="AA9" s="1664" t="s">
        <v>107</v>
      </c>
      <c r="AB9" s="1664"/>
      <c r="AC9" s="1664"/>
      <c r="AD9" s="1664"/>
      <c r="AE9" s="1665"/>
      <c r="AF9" s="1674"/>
      <c r="AG9" s="1669"/>
      <c r="AH9" s="1670"/>
      <c r="AI9" s="1670"/>
      <c r="AJ9" s="1670"/>
      <c r="AK9" s="1671"/>
      <c r="AL9" s="1672" t="s">
        <v>106</v>
      </c>
      <c r="AM9" s="1669" t="s">
        <v>107</v>
      </c>
      <c r="AN9" s="1670"/>
      <c r="AO9" s="1670"/>
      <c r="AP9" s="1670"/>
      <c r="AQ9" s="1670"/>
      <c r="AR9" s="1672" t="s">
        <v>108</v>
      </c>
      <c r="AS9" s="1676" t="s">
        <v>107</v>
      </c>
      <c r="AT9" s="1676"/>
      <c r="AU9" s="1676"/>
      <c r="AV9" s="1676"/>
      <c r="AW9" s="1677"/>
      <c r="AX9" s="1679" t="s">
        <v>108</v>
      </c>
      <c r="AY9" s="1664" t="s">
        <v>107</v>
      </c>
      <c r="AZ9" s="1664"/>
      <c r="BA9" s="1664"/>
      <c r="BB9" s="1664"/>
      <c r="BC9" s="1665"/>
      <c r="BD9" s="1679" t="s">
        <v>108</v>
      </c>
      <c r="BE9" s="1664" t="s">
        <v>107</v>
      </c>
      <c r="BF9" s="1664"/>
      <c r="BG9" s="1664"/>
      <c r="BH9" s="1664"/>
      <c r="BI9" s="1665"/>
      <c r="BK9" s="1682" t="s">
        <v>739</v>
      </c>
      <c r="BL9" s="1682"/>
    </row>
    <row r="10" spans="1:64" ht="47.25" customHeight="1" thickBot="1" x14ac:dyDescent="0.3">
      <c r="A10" s="1675"/>
      <c r="B10" s="1674"/>
      <c r="C10" s="8" t="s">
        <v>109</v>
      </c>
      <c r="D10" s="205" t="s">
        <v>110</v>
      </c>
      <c r="E10" s="6" t="s">
        <v>86</v>
      </c>
      <c r="F10" s="10" t="s">
        <v>57</v>
      </c>
      <c r="G10" s="6" t="s">
        <v>87</v>
      </c>
      <c r="H10" s="1673"/>
      <c r="I10" s="6" t="s">
        <v>109</v>
      </c>
      <c r="J10" s="9" t="s">
        <v>110</v>
      </c>
      <c r="K10" s="6" t="s">
        <v>86</v>
      </c>
      <c r="L10" s="10" t="s">
        <v>57</v>
      </c>
      <c r="M10" s="7" t="s">
        <v>87</v>
      </c>
      <c r="N10" s="1674"/>
      <c r="O10" s="10" t="s">
        <v>109</v>
      </c>
      <c r="P10" s="10" t="s">
        <v>110</v>
      </c>
      <c r="Q10" s="10" t="s">
        <v>86</v>
      </c>
      <c r="R10" s="10" t="s">
        <v>57</v>
      </c>
      <c r="S10" s="10" t="s">
        <v>87</v>
      </c>
      <c r="T10" s="1680"/>
      <c r="U10" s="290" t="s">
        <v>109</v>
      </c>
      <c r="V10" s="289" t="s">
        <v>110</v>
      </c>
      <c r="W10" s="291" t="s">
        <v>86</v>
      </c>
      <c r="X10" s="289" t="s">
        <v>57</v>
      </c>
      <c r="Y10" s="292" t="s">
        <v>87</v>
      </c>
      <c r="Z10" s="1680"/>
      <c r="AA10" s="326" t="s">
        <v>109</v>
      </c>
      <c r="AB10" s="326" t="s">
        <v>110</v>
      </c>
      <c r="AC10" s="291" t="s">
        <v>86</v>
      </c>
      <c r="AD10" s="326" t="s">
        <v>57</v>
      </c>
      <c r="AE10" s="292" t="s">
        <v>87</v>
      </c>
      <c r="AF10" s="1674"/>
      <c r="AG10" s="8" t="s">
        <v>109</v>
      </c>
      <c r="AH10" s="205" t="s">
        <v>110</v>
      </c>
      <c r="AI10" s="6" t="s">
        <v>86</v>
      </c>
      <c r="AJ10" s="6" t="s">
        <v>57</v>
      </c>
      <c r="AK10" s="6" t="s">
        <v>87</v>
      </c>
      <c r="AL10" s="1673"/>
      <c r="AM10" s="6" t="s">
        <v>109</v>
      </c>
      <c r="AN10" s="9" t="s">
        <v>110</v>
      </c>
      <c r="AO10" s="6" t="s">
        <v>86</v>
      </c>
      <c r="AP10" s="10" t="s">
        <v>57</v>
      </c>
      <c r="AQ10" s="7" t="s">
        <v>87</v>
      </c>
      <c r="AR10" s="1674"/>
      <c r="AS10" s="10" t="s">
        <v>109</v>
      </c>
      <c r="AT10" s="10" t="s">
        <v>110</v>
      </c>
      <c r="AU10" s="6" t="s">
        <v>86</v>
      </c>
      <c r="AV10" s="10" t="s">
        <v>57</v>
      </c>
      <c r="AW10" s="6" t="s">
        <v>87</v>
      </c>
      <c r="AX10" s="1680"/>
      <c r="AY10" s="290" t="s">
        <v>109</v>
      </c>
      <c r="AZ10" s="289" t="s">
        <v>110</v>
      </c>
      <c r="BA10" s="291" t="s">
        <v>86</v>
      </c>
      <c r="BB10" s="289" t="s">
        <v>57</v>
      </c>
      <c r="BC10" s="292" t="s">
        <v>87</v>
      </c>
      <c r="BD10" s="1680"/>
      <c r="BE10" s="326" t="s">
        <v>109</v>
      </c>
      <c r="BF10" s="326" t="s">
        <v>110</v>
      </c>
      <c r="BG10" s="326" t="s">
        <v>86</v>
      </c>
      <c r="BH10" s="326" t="s">
        <v>57</v>
      </c>
      <c r="BI10" s="326" t="s">
        <v>87</v>
      </c>
      <c r="BK10" s="1253" t="s">
        <v>49</v>
      </c>
      <c r="BL10" s="1253" t="s">
        <v>48</v>
      </c>
    </row>
    <row r="11" spans="1:64" ht="21.75" customHeight="1" x14ac:dyDescent="0.3">
      <c r="A11" s="11" t="s">
        <v>88</v>
      </c>
      <c r="B11" s="12">
        <f>'Проверочная  таблица'!B12</f>
        <v>305625115.98000002</v>
      </c>
      <c r="C11" s="13">
        <f>'Проверочная  таблица'!D12</f>
        <v>72480460</v>
      </c>
      <c r="D11" s="206">
        <f>'Проверочная  таблица'!AI12</f>
        <v>67160945.980000004</v>
      </c>
      <c r="E11" s="12">
        <f>'Проверочная  таблица'!RS12</f>
        <v>165983710</v>
      </c>
      <c r="F11" s="18">
        <f>'Проверочная  таблица'!SW12</f>
        <v>0</v>
      </c>
      <c r="G11" s="18"/>
      <c r="H11" s="14">
        <f t="shared" ref="H11:L11" si="0">B11-N11</f>
        <v>229355145.25</v>
      </c>
      <c r="I11" s="15">
        <f t="shared" si="0"/>
        <v>24315360</v>
      </c>
      <c r="J11" s="14">
        <f t="shared" si="0"/>
        <v>40457975.25</v>
      </c>
      <c r="K11" s="15">
        <f t="shared" si="0"/>
        <v>164581810</v>
      </c>
      <c r="L11" s="15">
        <f t="shared" si="0"/>
        <v>0</v>
      </c>
      <c r="M11" s="14"/>
      <c r="N11" s="16">
        <f>SUM(O11:S11)</f>
        <v>76269970.730000004</v>
      </c>
      <c r="O11" s="15">
        <f>'Проверочная  таблица'!P12+'Проверочная  таблица'!AA12+'Проверочная  таблица'!H12</f>
        <v>48165100</v>
      </c>
      <c r="P11" s="22">
        <f>'Проверочная  таблица'!NC12+'Проверочная  таблица'!OA12+'Проверочная  таблица'!CQ12+'Проверочная  таблица'!DG12+'Проверочная  таблица'!DO12+'Проверочная  таблица'!HW12+'Проверочная  таблица'!LU12+'Проверочная  таблица'!GG12+'Проверочная  таблица'!RM12+'Проверочная  таблица'!KU12+'Проверочная  таблица'!PG12+'Проверочная  таблица'!EK12+'Проверочная  таблица'!AW12</f>
        <v>26702970.73</v>
      </c>
      <c r="Q11" s="16">
        <f>'Проверочная  таблица'!SE12</f>
        <v>1401900</v>
      </c>
      <c r="R11" s="20">
        <f>'Проверочная  таблица'!VC12+'Проверочная  таблица'!TU12+'Проверочная  таблица'!UI12</f>
        <v>0</v>
      </c>
      <c r="S11" s="17"/>
      <c r="T11" s="293">
        <f>SUM(U11:Y11)</f>
        <v>76269970.730000004</v>
      </c>
      <c r="U11" s="293">
        <f>O11-AA11</f>
        <v>48165100</v>
      </c>
      <c r="V11" s="294">
        <f>P11-AB11</f>
        <v>26702970.73</v>
      </c>
      <c r="W11" s="295">
        <f>Q11-AC11</f>
        <v>1401900</v>
      </c>
      <c r="X11" s="294">
        <f>R11-AD11</f>
        <v>0</v>
      </c>
      <c r="Y11" s="296"/>
      <c r="Z11" s="295">
        <f>SUM(AA11:AE11)</f>
        <v>0</v>
      </c>
      <c r="AA11" s="293">
        <f>'Проверочная  таблица'!AG12+'Проверочная  таблица'!T12+'Проверочная  таблица'!L12</f>
        <v>0</v>
      </c>
      <c r="AB11" s="294">
        <f>'Проверочная  таблица'!NO12+'Проверочная  таблица'!OM12+'Проверочная  таблица'!DK12+'Проверочная  таблица'!DS12+'Проверочная  таблица'!DC12+'Проверочная  таблица'!RQ12+'Проверочная  таблица'!JG12+'Проверочная  таблица'!GS12+'Проверочная  таблица'!MO12+'Проверочная  таблица'!LE12+'Проверочная  таблица'!QQ12+'Проверочная  таблица'!EQ12+'Проверочная  таблица'!BU12</f>
        <v>0</v>
      </c>
      <c r="AC11" s="295"/>
      <c r="AD11" s="297">
        <f>'Проверочная  таблица'!VK12+'Проверочная  таблица'!UQ12</f>
        <v>0</v>
      </c>
      <c r="AE11" s="296"/>
      <c r="AF11" s="18">
        <f>'Проверочная  таблица'!C12</f>
        <v>234407889.49000001</v>
      </c>
      <c r="AG11" s="13">
        <f>'Проверочная  таблица'!E12</f>
        <v>59202890</v>
      </c>
      <c r="AH11" s="206">
        <f>'Проверочная  таблица'!AJ12</f>
        <v>46666969.509999998</v>
      </c>
      <c r="AI11" s="12">
        <f>'Проверочная  таблица'!RV12</f>
        <v>128538029.98</v>
      </c>
      <c r="AJ11" s="17">
        <f>'Проверочная  таблица'!SX12</f>
        <v>0</v>
      </c>
      <c r="AK11" s="18"/>
      <c r="AL11" s="14">
        <f t="shared" ref="AL11:AP11" si="1">AF11-AR11</f>
        <v>171726034.60000002</v>
      </c>
      <c r="AM11" s="15">
        <f t="shared" si="1"/>
        <v>20294590</v>
      </c>
      <c r="AN11" s="14">
        <f t="shared" si="1"/>
        <v>23770176.029999997</v>
      </c>
      <c r="AO11" s="15">
        <f t="shared" si="1"/>
        <v>127661268.57000001</v>
      </c>
      <c r="AP11" s="15">
        <f t="shared" si="1"/>
        <v>0</v>
      </c>
      <c r="AQ11" s="14"/>
      <c r="AR11" s="16">
        <f>SUM(AS11:AW11)</f>
        <v>62681854.890000001</v>
      </c>
      <c r="AS11" s="16">
        <f>'Проверочная  таблица'!Q12+'Проверочная  таблица'!AB12+'Проверочная  таблица'!I12</f>
        <v>38908300</v>
      </c>
      <c r="AT11" s="15">
        <f>'Проверочная  таблица'!OD12+'Проверочная  таблица'!RN12+'Проверочная  таблица'!NF12+'Проверочная  таблица'!DP12+'Проверочная  таблица'!DH12+'Проверочная  таблица'!CV12+'Проверочная  таблица'!IF12+'Проверочная  таблица'!GJ12+'Проверочная  таблица'!LZ12+'Проверочная  таблица'!KY12+'Проверочная  таблица'!PP12+'Проверочная  таблица'!EM12+'Проверочная  таблица'!BC12</f>
        <v>22896793.48</v>
      </c>
      <c r="AU11" s="14">
        <f>'Проверочная  таблица'!SF12</f>
        <v>876761.41</v>
      </c>
      <c r="AV11" s="15">
        <f>'Проверочная  таблица'!VE12+'Проверочная  таблица'!TW12+'Проверочная  таблица'!UL12</f>
        <v>0</v>
      </c>
      <c r="AW11" s="18"/>
      <c r="AX11" s="293">
        <f>SUM(AY11:BC11)</f>
        <v>62681854.890000001</v>
      </c>
      <c r="AY11" s="293">
        <f>AS11-BE11</f>
        <v>38908300</v>
      </c>
      <c r="AZ11" s="294">
        <f t="shared" ref="AZ11:AZ28" si="2">AT11-BF11</f>
        <v>22896793.48</v>
      </c>
      <c r="BA11" s="295">
        <f t="shared" ref="BA11:BA28" si="3">AU11-BG11</f>
        <v>876761.41</v>
      </c>
      <c r="BB11" s="294">
        <f t="shared" ref="BB11:BB28" si="4">AV11-BH11</f>
        <v>0</v>
      </c>
      <c r="BC11" s="296"/>
      <c r="BD11" s="295">
        <f>SUM(BE11:BI11)</f>
        <v>0</v>
      </c>
      <c r="BE11" s="294">
        <f>'Проверочная  таблица'!M12+'Проверочная  таблица'!U12+'Проверочная  таблица'!AH12</f>
        <v>0</v>
      </c>
      <c r="BF11" s="300">
        <f>'Проверочная  таблица'!NR12+'Проверочная  таблица'!OP12+'Проверочная  таблица'!DL12+'Проверочная  таблица'!DT12+'Проверочная  таблица'!DD12+'Проверочная  таблица'!RR12+'Проверочная  таблица'!JP12+'Проверочная  таблица'!GV12+'Проверочная  таблица'!MT12+'Проверочная  таблица'!LF12+'Проверочная  таблица'!QZ12+'Проверочная  таблица'!ER12+'Проверочная  таблица'!CA12</f>
        <v>0</v>
      </c>
      <c r="BG11" s="293"/>
      <c r="BH11" s="297">
        <f>'Проверочная  таблица'!VM12+'Проверочная  таблица'!UR12</f>
        <v>0</v>
      </c>
      <c r="BI11" s="296"/>
      <c r="BK11" s="1254">
        <f>SUM(V11:X11)/1000</f>
        <v>28104.870729999999</v>
      </c>
      <c r="BL11" s="1254">
        <f>SUM(AB11:AD11)/1000</f>
        <v>0</v>
      </c>
    </row>
    <row r="12" spans="1:64" ht="21.75" customHeight="1" x14ac:dyDescent="0.3">
      <c r="A12" s="19" t="s">
        <v>89</v>
      </c>
      <c r="B12" s="20">
        <f>'Проверочная  таблица'!B13</f>
        <v>1016148735.13</v>
      </c>
      <c r="C12" s="21">
        <f>'Проверочная  таблица'!D13</f>
        <v>148228898</v>
      </c>
      <c r="D12" s="207">
        <f>'Проверочная  таблица'!AI13</f>
        <v>248640772.13</v>
      </c>
      <c r="E12" s="20">
        <f>'Проверочная  таблица'!RS13</f>
        <v>599279065</v>
      </c>
      <c r="F12" s="26">
        <f>'Проверочная  таблица'!SW13</f>
        <v>20000000</v>
      </c>
      <c r="G12" s="26"/>
      <c r="H12" s="22">
        <f t="shared" ref="H12:H28" si="5">B12-N12</f>
        <v>668337632.93000007</v>
      </c>
      <c r="I12" s="23">
        <f t="shared" ref="I12:I28" si="6">C12-O12</f>
        <v>19437298</v>
      </c>
      <c r="J12" s="22">
        <f t="shared" ref="J12:J28" si="7">D12-P12</f>
        <v>51576069.930000007</v>
      </c>
      <c r="K12" s="23">
        <f t="shared" ref="K12:K28" si="8">E12-Q12</f>
        <v>597324265</v>
      </c>
      <c r="L12" s="23">
        <f t="shared" ref="L12:L28" si="9">F12-R12</f>
        <v>0</v>
      </c>
      <c r="M12" s="22"/>
      <c r="N12" s="24">
        <f t="shared" ref="N12:N28" si="10">SUM(O12:S12)</f>
        <v>347811102.19999999</v>
      </c>
      <c r="O12" s="23">
        <f>'Проверочная  таблица'!P13+'Проверочная  таблица'!AA13+'Проверочная  таблица'!H13</f>
        <v>128791600</v>
      </c>
      <c r="P12" s="22">
        <f>'Проверочная  таблица'!NC13+'Проверочная  таблица'!OA13+'Проверочная  таблица'!CQ13+'Проверочная  таблица'!DG13+'Проверочная  таблица'!DO13+'Проверочная  таблица'!HW13+'Проверочная  таблица'!LU13+'Проверочная  таблица'!GG13+'Проверочная  таблица'!RM13+'Проверочная  таблица'!KU13+'Проверочная  таблица'!PG13+'Проверочная  таблица'!EK13+'Проверочная  таблица'!AW13</f>
        <v>197064702.19999999</v>
      </c>
      <c r="Q12" s="24">
        <f>'Проверочная  таблица'!SE13</f>
        <v>1954800</v>
      </c>
      <c r="R12" s="20">
        <f>'Проверочная  таблица'!VC13+'Проверочная  таблица'!TU13+'Проверочная  таблица'!UI13</f>
        <v>20000000</v>
      </c>
      <c r="S12" s="25"/>
      <c r="T12" s="298">
        <f t="shared" ref="T12:T28" si="11">SUM(U12:Y12)</f>
        <v>139819261.81999999</v>
      </c>
      <c r="U12" s="298">
        <f t="shared" ref="U12:U28" si="12">O12-AA12</f>
        <v>67641200</v>
      </c>
      <c r="V12" s="299">
        <f t="shared" ref="V12:V28" si="13">P12-AB12</f>
        <v>70223261.819999978</v>
      </c>
      <c r="W12" s="300">
        <f t="shared" ref="W12:W28" si="14">Q12-AC12</f>
        <v>1954800</v>
      </c>
      <c r="X12" s="299">
        <f t="shared" ref="X12:X28" si="15">R12-AD12</f>
        <v>0</v>
      </c>
      <c r="Y12" s="301"/>
      <c r="Z12" s="300">
        <f t="shared" ref="Z12:Z28" si="16">SUM(AA12:AE12)</f>
        <v>207991840.38</v>
      </c>
      <c r="AA12" s="298">
        <f>'Проверочная  таблица'!AG13+'Проверочная  таблица'!T13+'Проверочная  таблица'!L13</f>
        <v>61150400</v>
      </c>
      <c r="AB12" s="299">
        <f>'Проверочная  таблица'!NO13+'Проверочная  таблица'!OM13+'Проверочная  таблица'!DK13+'Проверочная  таблица'!DS13+'Проверочная  таблица'!DC13+'Проверочная  таблица'!RQ13+'Проверочная  таблица'!JG13+'Проверочная  таблица'!GS13+'Проверочная  таблица'!MO13+'Проверочная  таблица'!LE13+'Проверочная  таблица'!QQ13+'Проверочная  таблица'!EQ13+'Проверочная  таблица'!BU13</f>
        <v>126841440.38000001</v>
      </c>
      <c r="AC12" s="300"/>
      <c r="AD12" s="302">
        <f>'Проверочная  таблица'!VK13+'Проверочная  таблица'!UQ13</f>
        <v>20000000</v>
      </c>
      <c r="AE12" s="301"/>
      <c r="AF12" s="26">
        <f>'Проверочная  таблица'!C13</f>
        <v>780382579.55999994</v>
      </c>
      <c r="AG12" s="21">
        <f>'Проверочная  таблица'!E13</f>
        <v>128375776</v>
      </c>
      <c r="AH12" s="207">
        <f>'Проверочная  таблица'!AJ13</f>
        <v>178783525.73999995</v>
      </c>
      <c r="AI12" s="20">
        <f>'Проверочная  таблица'!RV13</f>
        <v>453223277.81999999</v>
      </c>
      <c r="AJ12" s="25">
        <f>'Проверочная  таблица'!SX13</f>
        <v>20000000</v>
      </c>
      <c r="AK12" s="26"/>
      <c r="AL12" s="22">
        <f t="shared" ref="AL12:AL28" si="17">AF12-AR12</f>
        <v>514505085.9799999</v>
      </c>
      <c r="AM12" s="23">
        <f t="shared" ref="AM12:AM28" si="18">AG12-AS12</f>
        <v>13361050</v>
      </c>
      <c r="AN12" s="22">
        <f t="shared" ref="AN12:AN28" si="19">AH12-AT12</f>
        <v>49194538.529999942</v>
      </c>
      <c r="AO12" s="23">
        <f t="shared" ref="AO12:AO28" si="20">AI12-AU12</f>
        <v>451949497.44999999</v>
      </c>
      <c r="AP12" s="23">
        <f t="shared" ref="AP12:AP28" si="21">AJ12-AV12</f>
        <v>0</v>
      </c>
      <c r="AQ12" s="22"/>
      <c r="AR12" s="24">
        <f t="shared" ref="AR12:AR28" si="22">SUM(AS12:AW12)</f>
        <v>265877493.58000001</v>
      </c>
      <c r="AS12" s="24">
        <f>'Проверочная  таблица'!Q13+'Проверочная  таблица'!AB13+'Проверочная  таблица'!I13</f>
        <v>115014726</v>
      </c>
      <c r="AT12" s="23">
        <f>'Проверочная  таблица'!OD13+'Проверочная  таблица'!RN13+'Проверочная  таблица'!NF13+'Проверочная  таблица'!DP13+'Проверочная  таблица'!DH13+'Проверочная  таблица'!CV13+'Проверочная  таблица'!IF13+'Проверочная  таблица'!GJ13+'Проверочная  таблица'!LZ13+'Проверочная  таблица'!KY13+'Проверочная  таблица'!PP13+'Проверочная  таблица'!EM13+'Проверочная  таблица'!BC13</f>
        <v>129588987.21000001</v>
      </c>
      <c r="AU12" s="22">
        <f>'Проверочная  таблица'!SF13</f>
        <v>1273780.3700000001</v>
      </c>
      <c r="AV12" s="23">
        <f>'Проверочная  таблица'!VE13+'Проверочная  таблица'!TW13+'Проверочная  таблица'!UL13</f>
        <v>20000000</v>
      </c>
      <c r="AW12" s="26"/>
      <c r="AX12" s="298">
        <f t="shared" ref="AX12:AX28" si="23">SUM(AY12:BC12)</f>
        <v>83682281.799999997</v>
      </c>
      <c r="AY12" s="298">
        <f t="shared" ref="AY12:AY28" si="24">AS12-BE12</f>
        <v>54209726</v>
      </c>
      <c r="AZ12" s="299">
        <f t="shared" si="2"/>
        <v>28198775.429999992</v>
      </c>
      <c r="BA12" s="300">
        <f t="shared" si="3"/>
        <v>1273780.3700000001</v>
      </c>
      <c r="BB12" s="299">
        <f t="shared" si="4"/>
        <v>0</v>
      </c>
      <c r="BC12" s="301"/>
      <c r="BD12" s="300">
        <f t="shared" ref="BD12:BD28" si="25">SUM(BE12:BI12)</f>
        <v>182195211.78000003</v>
      </c>
      <c r="BE12" s="299">
        <f>'Проверочная  таблица'!M13+'Проверочная  таблица'!U13+'Проверочная  таблица'!AH13</f>
        <v>60805000</v>
      </c>
      <c r="BF12" s="300">
        <f>'Проверочная  таблица'!NR13+'Проверочная  таблица'!OP13+'Проверочная  таблица'!DL13+'Проверочная  таблица'!DT13+'Проверочная  таблица'!DD13+'Проверочная  таблица'!RR13+'Проверочная  таблица'!JP13+'Проверочная  таблица'!GV13+'Проверочная  таблица'!MT13+'Проверочная  таблица'!LF13+'Проверочная  таблица'!QZ13+'Проверочная  таблица'!ER13+'Проверочная  таблица'!CA13</f>
        <v>101390211.78000002</v>
      </c>
      <c r="BG12" s="298"/>
      <c r="BH12" s="302">
        <f>'Проверочная  таблица'!VM13+'Проверочная  таблица'!UR13</f>
        <v>20000000</v>
      </c>
      <c r="BI12" s="301"/>
      <c r="BK12" s="1254">
        <f t="shared" ref="BK12:BK36" si="26">SUM(V12:X12)/1000</f>
        <v>72178.061819999974</v>
      </c>
      <c r="BL12" s="1254">
        <f t="shared" ref="BL12:BL36" si="27">SUM(AB12:AD12)/1000</f>
        <v>146841.44037999999</v>
      </c>
    </row>
    <row r="13" spans="1:64" ht="21.75" customHeight="1" x14ac:dyDescent="0.3">
      <c r="A13" s="27" t="s">
        <v>90</v>
      </c>
      <c r="B13" s="20">
        <f>'Проверочная  таблица'!B14</f>
        <v>708708735.04999995</v>
      </c>
      <c r="C13" s="21">
        <f>'Проверочная  таблица'!D14</f>
        <v>110170707</v>
      </c>
      <c r="D13" s="207">
        <f>'Проверочная  таблица'!AI14</f>
        <v>250610089.05000001</v>
      </c>
      <c r="E13" s="20">
        <f>'Проверочная  таблица'!RS14</f>
        <v>347927939</v>
      </c>
      <c r="F13" s="26">
        <f>'Проверочная  таблица'!SW14</f>
        <v>0</v>
      </c>
      <c r="G13" s="26"/>
      <c r="H13" s="22">
        <f t="shared" si="5"/>
        <v>502363050.40999997</v>
      </c>
      <c r="I13" s="23">
        <f t="shared" si="6"/>
        <v>43290207</v>
      </c>
      <c r="J13" s="22">
        <f t="shared" si="7"/>
        <v>112340304.41</v>
      </c>
      <c r="K13" s="23">
        <f t="shared" si="8"/>
        <v>346732539</v>
      </c>
      <c r="L13" s="23">
        <f t="shared" si="9"/>
        <v>0</v>
      </c>
      <c r="M13" s="22"/>
      <c r="N13" s="24">
        <f t="shared" si="10"/>
        <v>206345684.64000002</v>
      </c>
      <c r="O13" s="23">
        <f>'Проверочная  таблица'!P14+'Проверочная  таблица'!AA14+'Проверочная  таблица'!H14</f>
        <v>66880500</v>
      </c>
      <c r="P13" s="22">
        <f>'Проверочная  таблица'!NC14+'Проверочная  таблица'!OA14+'Проверочная  таблица'!CQ14+'Проверочная  таблица'!DG14+'Проверочная  таблица'!DO14+'Проверочная  таблица'!HW14+'Проверочная  таблица'!LU14+'Проверочная  таблица'!GG14+'Проверочная  таблица'!RM14+'Проверочная  таблица'!KU14+'Проверочная  таблица'!PG14+'Проверочная  таблица'!EK14+'Проверочная  таблица'!AW14</f>
        <v>138269784.64000002</v>
      </c>
      <c r="Q13" s="24">
        <f>'Проверочная  таблица'!SE14</f>
        <v>1195400</v>
      </c>
      <c r="R13" s="20">
        <f>'Проверочная  таблица'!VC14+'Проверочная  таблица'!TU14+'Проверочная  таблица'!UI14</f>
        <v>0</v>
      </c>
      <c r="S13" s="25"/>
      <c r="T13" s="298">
        <f t="shared" si="11"/>
        <v>76878235.280000016</v>
      </c>
      <c r="U13" s="298">
        <f t="shared" si="12"/>
        <v>39475600</v>
      </c>
      <c r="V13" s="299">
        <f t="shared" si="13"/>
        <v>36207235.280000016</v>
      </c>
      <c r="W13" s="300">
        <f t="shared" si="14"/>
        <v>1195400</v>
      </c>
      <c r="X13" s="299">
        <f t="shared" si="15"/>
        <v>0</v>
      </c>
      <c r="Y13" s="301"/>
      <c r="Z13" s="300">
        <f t="shared" si="16"/>
        <v>129467449.36</v>
      </c>
      <c r="AA13" s="298">
        <f>'Проверочная  таблица'!AG14+'Проверочная  таблица'!T14+'Проверочная  таблица'!L14</f>
        <v>27404900</v>
      </c>
      <c r="AB13" s="299">
        <f>'Проверочная  таблица'!NO14+'Проверочная  таблица'!OM14+'Проверочная  таблица'!DK14+'Проверочная  таблица'!DS14+'Проверочная  таблица'!DC14+'Проверочная  таблица'!RQ14+'Проверочная  таблица'!JG14+'Проверочная  таблица'!GS14+'Проверочная  таблица'!MO14+'Проверочная  таблица'!LE14+'Проверочная  таблица'!QQ14+'Проверочная  таблица'!EQ14+'Проверочная  таблица'!BU14</f>
        <v>102062549.36</v>
      </c>
      <c r="AC13" s="300"/>
      <c r="AD13" s="302">
        <f>'Проверочная  таблица'!VK14+'Проверочная  таблица'!UQ14</f>
        <v>0</v>
      </c>
      <c r="AE13" s="301"/>
      <c r="AF13" s="26">
        <f>'Проверочная  таблица'!C14</f>
        <v>522738288.76999998</v>
      </c>
      <c r="AG13" s="21">
        <f>'Проверочная  таблица'!E14</f>
        <v>78741750</v>
      </c>
      <c r="AH13" s="207">
        <f>'Проверочная  таблица'!AJ14</f>
        <v>172719140.56</v>
      </c>
      <c r="AI13" s="20">
        <f>'Проверочная  таблица'!RV14</f>
        <v>271277398.20999998</v>
      </c>
      <c r="AJ13" s="25">
        <f>'Проверочная  таблица'!SX14</f>
        <v>0</v>
      </c>
      <c r="AK13" s="26"/>
      <c r="AL13" s="22">
        <f t="shared" si="17"/>
        <v>398088109.19</v>
      </c>
      <c r="AM13" s="23">
        <f t="shared" si="18"/>
        <v>35640250</v>
      </c>
      <c r="AN13" s="22">
        <f t="shared" si="19"/>
        <v>91749400.170000002</v>
      </c>
      <c r="AO13" s="23">
        <f t="shared" si="20"/>
        <v>270698459.01999998</v>
      </c>
      <c r="AP13" s="23">
        <f t="shared" si="21"/>
        <v>0</v>
      </c>
      <c r="AQ13" s="22"/>
      <c r="AR13" s="24">
        <f t="shared" si="22"/>
        <v>124650179.58</v>
      </c>
      <c r="AS13" s="24">
        <f>'Проверочная  таблица'!Q14+'Проверочная  таблица'!AB14+'Проверочная  таблица'!I14</f>
        <v>43101500</v>
      </c>
      <c r="AT13" s="23">
        <f>'Проверочная  таблица'!OD14+'Проверочная  таблица'!RN14+'Проверочная  таблица'!NF14+'Проверочная  таблица'!DP14+'Проверочная  таблица'!DH14+'Проверочная  таблица'!CV14+'Проверочная  таблица'!IF14+'Проверочная  таблица'!GJ14+'Проверочная  таблица'!LZ14+'Проверочная  таблица'!KY14+'Проверочная  таблица'!PP14+'Проверочная  таблица'!EM14+'Проверочная  таблица'!BC14</f>
        <v>80969740.390000001</v>
      </c>
      <c r="AU13" s="22">
        <f>'Проверочная  таблица'!SF14</f>
        <v>578939.18999999994</v>
      </c>
      <c r="AV13" s="23">
        <f>'Проверочная  таблица'!VE14+'Проверочная  таблица'!TW14+'Проверочная  таблица'!UL14</f>
        <v>0</v>
      </c>
      <c r="AW13" s="26"/>
      <c r="AX13" s="298">
        <f t="shared" si="23"/>
        <v>50902480.469999999</v>
      </c>
      <c r="AY13" s="298">
        <f t="shared" si="24"/>
        <v>29084500</v>
      </c>
      <c r="AZ13" s="299">
        <f t="shared" si="2"/>
        <v>21239041.280000001</v>
      </c>
      <c r="BA13" s="300">
        <f t="shared" si="3"/>
        <v>578939.18999999994</v>
      </c>
      <c r="BB13" s="299">
        <f t="shared" si="4"/>
        <v>0</v>
      </c>
      <c r="BC13" s="301"/>
      <c r="BD13" s="300">
        <f t="shared" si="25"/>
        <v>73747699.109999999</v>
      </c>
      <c r="BE13" s="299">
        <f>'Проверочная  таблица'!M14+'Проверочная  таблица'!U14+'Проверочная  таблица'!AH14</f>
        <v>14017000</v>
      </c>
      <c r="BF13" s="300">
        <f>'Проверочная  таблица'!NR14+'Проверочная  таблица'!OP14+'Проверочная  таблица'!DL14+'Проверочная  таблица'!DT14+'Проверочная  таблица'!DD14+'Проверочная  таблица'!RR14+'Проверочная  таблица'!JP14+'Проверочная  таблица'!GV14+'Проверочная  таблица'!MT14+'Проверочная  таблица'!LF14+'Проверочная  таблица'!QZ14+'Проверочная  таблица'!ER14+'Проверочная  таблица'!CA14</f>
        <v>59730699.109999999</v>
      </c>
      <c r="BG13" s="298"/>
      <c r="BH13" s="302">
        <f>'Проверочная  таблица'!VM14+'Проверочная  таблица'!UR14</f>
        <v>0</v>
      </c>
      <c r="BI13" s="301"/>
      <c r="BK13" s="1254">
        <f t="shared" si="26"/>
        <v>37402.635280000017</v>
      </c>
      <c r="BL13" s="1254">
        <f t="shared" si="27"/>
        <v>102062.54936</v>
      </c>
    </row>
    <row r="14" spans="1:64" ht="21.75" customHeight="1" x14ac:dyDescent="0.3">
      <c r="A14" s="19" t="s">
        <v>91</v>
      </c>
      <c r="B14" s="20">
        <f>'Проверочная  таблица'!B15</f>
        <v>571584947.51999998</v>
      </c>
      <c r="C14" s="21">
        <f>'Проверочная  таблица'!D15</f>
        <v>80036441</v>
      </c>
      <c r="D14" s="207">
        <f>'Проверочная  таблица'!AI15</f>
        <v>132634290.52000001</v>
      </c>
      <c r="E14" s="20">
        <f>'Проверочная  таблица'!RS15</f>
        <v>358914216</v>
      </c>
      <c r="F14" s="26">
        <f>'Проверочная  таблица'!SW15</f>
        <v>0</v>
      </c>
      <c r="G14" s="26"/>
      <c r="H14" s="22">
        <f t="shared" si="5"/>
        <v>453895047.98000002</v>
      </c>
      <c r="I14" s="23">
        <f t="shared" si="6"/>
        <v>12289341</v>
      </c>
      <c r="J14" s="22">
        <f t="shared" si="7"/>
        <v>84412590.980000019</v>
      </c>
      <c r="K14" s="23">
        <f t="shared" si="8"/>
        <v>357193116</v>
      </c>
      <c r="L14" s="23">
        <f t="shared" si="9"/>
        <v>0</v>
      </c>
      <c r="M14" s="22"/>
      <c r="N14" s="24">
        <f t="shared" si="10"/>
        <v>117689899.53999999</v>
      </c>
      <c r="O14" s="23">
        <f>'Проверочная  таблица'!P15+'Проверочная  таблица'!AA15+'Проверочная  таблица'!H15</f>
        <v>67747100</v>
      </c>
      <c r="P14" s="22">
        <f>'Проверочная  таблица'!NC15+'Проверочная  таблица'!OA15+'Проверочная  таблица'!CQ15+'Проверочная  таблица'!DG15+'Проверочная  таблица'!DO15+'Проверочная  таблица'!HW15+'Проверочная  таблица'!LU15+'Проверочная  таблица'!GG15+'Проверочная  таблица'!RM15+'Проверочная  таблица'!KU15+'Проверочная  таблица'!PG15+'Проверочная  таблица'!EK15+'Проверочная  таблица'!AW15</f>
        <v>48221699.539999999</v>
      </c>
      <c r="Q14" s="24">
        <f>'Проверочная  таблица'!SE15</f>
        <v>1721100</v>
      </c>
      <c r="R14" s="20">
        <f>'Проверочная  таблица'!VC15+'Проверочная  таблица'!TU15+'Проверочная  таблица'!UI15</f>
        <v>0</v>
      </c>
      <c r="S14" s="25"/>
      <c r="T14" s="298">
        <f t="shared" si="11"/>
        <v>117689899.53999999</v>
      </c>
      <c r="U14" s="298">
        <f t="shared" si="12"/>
        <v>67747100</v>
      </c>
      <c r="V14" s="299">
        <f t="shared" si="13"/>
        <v>48221699.539999999</v>
      </c>
      <c r="W14" s="300">
        <f t="shared" si="14"/>
        <v>1721100</v>
      </c>
      <c r="X14" s="299">
        <f t="shared" si="15"/>
        <v>0</v>
      </c>
      <c r="Y14" s="301"/>
      <c r="Z14" s="300">
        <f t="shared" si="16"/>
        <v>0</v>
      </c>
      <c r="AA14" s="298">
        <f>'Проверочная  таблица'!AG15+'Проверочная  таблица'!T15+'Проверочная  таблица'!L15</f>
        <v>0</v>
      </c>
      <c r="AB14" s="299">
        <f>'Проверочная  таблица'!NO15+'Проверочная  таблица'!OM15+'Проверочная  таблица'!DK15+'Проверочная  таблица'!DS15+'Проверочная  таблица'!DC15+'Проверочная  таблица'!RQ15+'Проверочная  таблица'!JG15+'Проверочная  таблица'!GS15+'Проверочная  таблица'!MO15+'Проверочная  таблица'!LE15+'Проверочная  таблица'!QQ15+'Проверочная  таблица'!EQ15+'Проверочная  таблица'!BU15</f>
        <v>0</v>
      </c>
      <c r="AC14" s="300"/>
      <c r="AD14" s="302">
        <f>'Проверочная  таблица'!VK15+'Проверочная  таблица'!UQ15</f>
        <v>0</v>
      </c>
      <c r="AE14" s="301"/>
      <c r="AF14" s="26">
        <f>'Проверочная  таблица'!C15</f>
        <v>416453201.56999999</v>
      </c>
      <c r="AG14" s="21">
        <f>'Проверочная  таблица'!E15</f>
        <v>61667362</v>
      </c>
      <c r="AH14" s="207">
        <f>'Проверочная  таблица'!AJ15</f>
        <v>88621827.510000005</v>
      </c>
      <c r="AI14" s="20">
        <f>'Проверочная  таблица'!RV15</f>
        <v>266164012.06</v>
      </c>
      <c r="AJ14" s="25">
        <f>'Проверочная  таблица'!SX15</f>
        <v>0</v>
      </c>
      <c r="AK14" s="26"/>
      <c r="AL14" s="22">
        <f t="shared" si="17"/>
        <v>333849210.13999999</v>
      </c>
      <c r="AM14" s="23">
        <f t="shared" si="18"/>
        <v>9514638</v>
      </c>
      <c r="AN14" s="22">
        <f t="shared" si="19"/>
        <v>59461385.080000006</v>
      </c>
      <c r="AO14" s="23">
        <f t="shared" si="20"/>
        <v>264873187.06</v>
      </c>
      <c r="AP14" s="23">
        <f t="shared" si="21"/>
        <v>0</v>
      </c>
      <c r="AQ14" s="22"/>
      <c r="AR14" s="24">
        <f t="shared" si="22"/>
        <v>82603991.430000007</v>
      </c>
      <c r="AS14" s="24">
        <f>'Проверочная  таблица'!Q15+'Проверочная  таблица'!AB15+'Проверочная  таблица'!I15</f>
        <v>52152724</v>
      </c>
      <c r="AT14" s="23">
        <f>'Проверочная  таблица'!OD15+'Проверочная  таблица'!RN15+'Проверочная  таблица'!NF15+'Проверочная  таблица'!DP15+'Проверочная  таблица'!DH15+'Проверочная  таблица'!CV15+'Проверочная  таблица'!IF15+'Проверочная  таблица'!GJ15+'Проверочная  таблица'!LZ15+'Проверочная  таблица'!KY15+'Проверочная  таблица'!PP15+'Проверочная  таблица'!EM15+'Проверочная  таблица'!BC15</f>
        <v>29160442.43</v>
      </c>
      <c r="AU14" s="22">
        <f>'Проверочная  таблица'!SF15</f>
        <v>1290825</v>
      </c>
      <c r="AV14" s="23">
        <f>'Проверочная  таблица'!VE15+'Проверочная  таблица'!TW15+'Проверочная  таблица'!UL15</f>
        <v>0</v>
      </c>
      <c r="AW14" s="26"/>
      <c r="AX14" s="298">
        <f t="shared" si="23"/>
        <v>82603991.430000007</v>
      </c>
      <c r="AY14" s="298">
        <f t="shared" si="24"/>
        <v>52152724</v>
      </c>
      <c r="AZ14" s="299">
        <f t="shared" si="2"/>
        <v>29160442.43</v>
      </c>
      <c r="BA14" s="300">
        <f t="shared" si="3"/>
        <v>1290825</v>
      </c>
      <c r="BB14" s="299">
        <f t="shared" si="4"/>
        <v>0</v>
      </c>
      <c r="BC14" s="301"/>
      <c r="BD14" s="300">
        <f t="shared" si="25"/>
        <v>0</v>
      </c>
      <c r="BE14" s="299">
        <f>'Проверочная  таблица'!M15+'Проверочная  таблица'!U15+'Проверочная  таблица'!AH15</f>
        <v>0</v>
      </c>
      <c r="BF14" s="300">
        <f>'Проверочная  таблица'!NR15+'Проверочная  таблица'!OP15+'Проверочная  таблица'!DL15+'Проверочная  таблица'!DT15+'Проверочная  таблица'!DD15+'Проверочная  таблица'!RR15+'Проверочная  таблица'!JP15+'Проверочная  таблица'!GV15+'Проверочная  таблица'!MT15+'Проверочная  таблица'!LF15+'Проверочная  таблица'!QZ15+'Проверочная  таблица'!ER15+'Проверочная  таблица'!CA15</f>
        <v>0</v>
      </c>
      <c r="BG14" s="298"/>
      <c r="BH14" s="302">
        <f>'Проверочная  таблица'!VM15+'Проверочная  таблица'!UR15</f>
        <v>0</v>
      </c>
      <c r="BI14" s="301"/>
      <c r="BK14" s="1254">
        <f t="shared" si="26"/>
        <v>49942.79954</v>
      </c>
      <c r="BL14" s="1254">
        <f t="shared" si="27"/>
        <v>0</v>
      </c>
    </row>
    <row r="15" spans="1:64" ht="21.75" customHeight="1" x14ac:dyDescent="0.3">
      <c r="A15" s="27" t="s">
        <v>92</v>
      </c>
      <c r="B15" s="20">
        <f>'Проверочная  таблица'!B16</f>
        <v>683696262.16999996</v>
      </c>
      <c r="C15" s="21">
        <f>'Проверочная  таблица'!D16</f>
        <v>140097015</v>
      </c>
      <c r="D15" s="207">
        <f>'Проверочная  таблица'!AI16</f>
        <v>216085941.16999996</v>
      </c>
      <c r="E15" s="20">
        <f>'Проверочная  таблица'!RS16</f>
        <v>327513306</v>
      </c>
      <c r="F15" s="26">
        <f>'Проверочная  таблица'!SW16</f>
        <v>0</v>
      </c>
      <c r="G15" s="26"/>
      <c r="H15" s="22">
        <f t="shared" si="5"/>
        <v>493401630.29999995</v>
      </c>
      <c r="I15" s="23">
        <f t="shared" si="6"/>
        <v>76655915</v>
      </c>
      <c r="J15" s="22">
        <f t="shared" si="7"/>
        <v>90827209.299999967</v>
      </c>
      <c r="K15" s="23">
        <f t="shared" si="8"/>
        <v>325918506</v>
      </c>
      <c r="L15" s="23">
        <f t="shared" si="9"/>
        <v>0</v>
      </c>
      <c r="M15" s="22"/>
      <c r="N15" s="24">
        <f t="shared" si="10"/>
        <v>190294631.87</v>
      </c>
      <c r="O15" s="23">
        <f>'Проверочная  таблица'!P16+'Проверочная  таблица'!AA16+'Проверочная  таблица'!H16</f>
        <v>63441100</v>
      </c>
      <c r="P15" s="22">
        <f>'Проверочная  таблица'!NC16+'Проверочная  таблица'!OA16+'Проверочная  таблица'!CQ16+'Проверочная  таблица'!DG16+'Проверочная  таблица'!DO16+'Проверочная  таблица'!HW16+'Проверочная  таблица'!LU16+'Проверочная  таблица'!GG16+'Проверочная  таблица'!RM16+'Проверочная  таблица'!KU16+'Проверочная  таблица'!PG16+'Проверочная  таблица'!EK16+'Проверочная  таблица'!AW16</f>
        <v>125258731.86999999</v>
      </c>
      <c r="Q15" s="24">
        <f>'Проверочная  таблица'!SE16</f>
        <v>1594800</v>
      </c>
      <c r="R15" s="20">
        <f>'Проверочная  таблица'!VC16+'Проверочная  таблица'!TU16+'Проверочная  таблица'!UI16</f>
        <v>0</v>
      </c>
      <c r="S15" s="25"/>
      <c r="T15" s="298">
        <f t="shared" si="11"/>
        <v>190294631.87</v>
      </c>
      <c r="U15" s="298">
        <f t="shared" si="12"/>
        <v>63441100</v>
      </c>
      <c r="V15" s="299">
        <f t="shared" si="13"/>
        <v>125258731.86999999</v>
      </c>
      <c r="W15" s="300">
        <f t="shared" si="14"/>
        <v>1594800</v>
      </c>
      <c r="X15" s="299">
        <f t="shared" si="15"/>
        <v>0</v>
      </c>
      <c r="Y15" s="301"/>
      <c r="Z15" s="300">
        <f t="shared" si="16"/>
        <v>0</v>
      </c>
      <c r="AA15" s="298">
        <f>'Проверочная  таблица'!AG16+'Проверочная  таблица'!T16+'Проверочная  таблица'!L16</f>
        <v>0</v>
      </c>
      <c r="AB15" s="299">
        <f>'Проверочная  таблица'!NO16+'Проверочная  таблица'!OM16+'Проверочная  таблица'!DK16+'Проверочная  таблица'!DS16+'Проверочная  таблица'!DC16+'Проверочная  таблица'!RQ16+'Проверочная  таблица'!JG16+'Проверочная  таблица'!GS16+'Проверочная  таблица'!MO16+'Проверочная  таблица'!LE16+'Проверочная  таблица'!QQ16+'Проверочная  таблица'!EQ16+'Проверочная  таблица'!BU16</f>
        <v>0</v>
      </c>
      <c r="AC15" s="300"/>
      <c r="AD15" s="302">
        <f>'Проверочная  таблица'!VK16+'Проверочная  таблица'!UQ16</f>
        <v>0</v>
      </c>
      <c r="AE15" s="301"/>
      <c r="AF15" s="26">
        <f>'Проверочная  таблица'!C16</f>
        <v>500117012.72999996</v>
      </c>
      <c r="AG15" s="21">
        <f>'Проверочная  таблица'!E16</f>
        <v>104929657</v>
      </c>
      <c r="AH15" s="207">
        <f>'Проверочная  таблица'!AJ16</f>
        <v>149958718.69999999</v>
      </c>
      <c r="AI15" s="20">
        <f>'Проверочная  таблица'!RV16</f>
        <v>245228637.03</v>
      </c>
      <c r="AJ15" s="25">
        <f>'Проверочная  таблица'!SX16</f>
        <v>0</v>
      </c>
      <c r="AK15" s="26"/>
      <c r="AL15" s="22">
        <f t="shared" si="17"/>
        <v>366548829.67999995</v>
      </c>
      <c r="AM15" s="23">
        <f t="shared" si="18"/>
        <v>56804582</v>
      </c>
      <c r="AN15" s="22">
        <f t="shared" si="19"/>
        <v>65573328.389999986</v>
      </c>
      <c r="AO15" s="23">
        <f t="shared" si="20"/>
        <v>244170919.28999999</v>
      </c>
      <c r="AP15" s="23">
        <f t="shared" si="21"/>
        <v>0</v>
      </c>
      <c r="AQ15" s="22"/>
      <c r="AR15" s="24">
        <f t="shared" si="22"/>
        <v>133568183.05</v>
      </c>
      <c r="AS15" s="24">
        <f>'Проверочная  таблица'!Q16+'Проверочная  таблица'!AB16+'Проверочная  таблица'!I16</f>
        <v>48125075</v>
      </c>
      <c r="AT15" s="23">
        <f>'Проверочная  таблица'!OD16+'Проверочная  таблица'!RN16+'Проверочная  таблица'!NF16+'Проверочная  таблица'!DP16+'Проверочная  таблица'!DH16+'Проверочная  таблица'!CV16+'Проверочная  таблица'!IF16+'Проверочная  таблица'!GJ16+'Проверочная  таблица'!LZ16+'Проверочная  таблица'!KY16+'Проверочная  таблица'!PP16+'Проверочная  таблица'!EM16+'Проверочная  таблица'!BC16</f>
        <v>84385390.310000002</v>
      </c>
      <c r="AU15" s="22">
        <f>'Проверочная  таблица'!SF16</f>
        <v>1057717.74</v>
      </c>
      <c r="AV15" s="23">
        <f>'Проверочная  таблица'!VE16+'Проверочная  таблица'!TW16+'Проверочная  таблица'!UL16</f>
        <v>0</v>
      </c>
      <c r="AW15" s="26"/>
      <c r="AX15" s="298">
        <f t="shared" si="23"/>
        <v>133568183.05</v>
      </c>
      <c r="AY15" s="298">
        <f t="shared" si="24"/>
        <v>48125075</v>
      </c>
      <c r="AZ15" s="299">
        <f t="shared" si="2"/>
        <v>84385390.310000002</v>
      </c>
      <c r="BA15" s="300">
        <f t="shared" si="3"/>
        <v>1057717.74</v>
      </c>
      <c r="BB15" s="299">
        <f t="shared" si="4"/>
        <v>0</v>
      </c>
      <c r="BC15" s="301"/>
      <c r="BD15" s="300">
        <f t="shared" si="25"/>
        <v>0</v>
      </c>
      <c r="BE15" s="299">
        <f>'Проверочная  таблица'!M16+'Проверочная  таблица'!U16+'Проверочная  таблица'!AH16</f>
        <v>0</v>
      </c>
      <c r="BF15" s="300">
        <f>'Проверочная  таблица'!NR16+'Проверочная  таблица'!OP16+'Проверочная  таблица'!DL16+'Проверочная  таблица'!DT16+'Проверочная  таблица'!DD16+'Проверочная  таблица'!RR16+'Проверочная  таблица'!JP16+'Проверочная  таблица'!GV16+'Проверочная  таблица'!MT16+'Проверочная  таблица'!LF16+'Проверочная  таблица'!QZ16+'Проверочная  таблица'!ER16+'Проверочная  таблица'!CA16</f>
        <v>0</v>
      </c>
      <c r="BG15" s="298"/>
      <c r="BH15" s="302">
        <f>'Проверочная  таблица'!VM16+'Проверочная  таблица'!UR16</f>
        <v>0</v>
      </c>
      <c r="BI15" s="301"/>
      <c r="BK15" s="1254">
        <f t="shared" si="26"/>
        <v>126853.53186999999</v>
      </c>
      <c r="BL15" s="1254">
        <f t="shared" si="27"/>
        <v>0</v>
      </c>
    </row>
    <row r="16" spans="1:64" ht="21.75" customHeight="1" x14ac:dyDescent="0.3">
      <c r="A16" s="19" t="s">
        <v>93</v>
      </c>
      <c r="B16" s="20">
        <f>'Проверочная  таблица'!B17</f>
        <v>416586893.06</v>
      </c>
      <c r="C16" s="21">
        <f>'Проверочная  таблица'!D17</f>
        <v>59541343</v>
      </c>
      <c r="D16" s="207">
        <f>'Проверочная  таблица'!AI17</f>
        <v>132163962.06</v>
      </c>
      <c r="E16" s="20">
        <f>'Проверочная  таблица'!RS17</f>
        <v>224881588</v>
      </c>
      <c r="F16" s="26">
        <f>'Проверочная  таблица'!SW17</f>
        <v>0</v>
      </c>
      <c r="G16" s="26"/>
      <c r="H16" s="22">
        <f t="shared" si="5"/>
        <v>343214053.37</v>
      </c>
      <c r="I16" s="23">
        <f t="shared" si="6"/>
        <v>18596343</v>
      </c>
      <c r="J16" s="22">
        <f t="shared" si="7"/>
        <v>100740422.37</v>
      </c>
      <c r="K16" s="23">
        <f t="shared" si="8"/>
        <v>223877288</v>
      </c>
      <c r="L16" s="23">
        <f t="shared" si="9"/>
        <v>0</v>
      </c>
      <c r="M16" s="22"/>
      <c r="N16" s="24">
        <f t="shared" si="10"/>
        <v>73372839.689999998</v>
      </c>
      <c r="O16" s="23">
        <f>'Проверочная  таблица'!P17+'Проверочная  таблица'!AA17+'Проверочная  таблица'!H17</f>
        <v>40945000</v>
      </c>
      <c r="P16" s="22">
        <f>'Проверочная  таблица'!NC17+'Проверочная  таблица'!OA17+'Проверочная  таблица'!CQ17+'Проверочная  таблица'!DG17+'Проверочная  таблица'!DO17+'Проверочная  таблица'!HW17+'Проверочная  таблица'!LU17+'Проверочная  таблица'!GG17+'Проверочная  таблица'!RM17+'Проверочная  таблица'!KU17+'Проверочная  таблица'!PG17+'Проверочная  таблица'!EK17+'Проверочная  таблица'!AW17</f>
        <v>31423539.690000001</v>
      </c>
      <c r="Q16" s="24">
        <f>'Проверочная  таблица'!SE17</f>
        <v>1004300</v>
      </c>
      <c r="R16" s="20">
        <f>'Проверочная  таблица'!VC17+'Проверочная  таблица'!TU17+'Проверочная  таблица'!UI17</f>
        <v>0</v>
      </c>
      <c r="S16" s="25"/>
      <c r="T16" s="298">
        <f t="shared" si="11"/>
        <v>73372839.689999998</v>
      </c>
      <c r="U16" s="298">
        <f t="shared" si="12"/>
        <v>40945000</v>
      </c>
      <c r="V16" s="299">
        <f t="shared" si="13"/>
        <v>31423539.690000001</v>
      </c>
      <c r="W16" s="300">
        <f t="shared" si="14"/>
        <v>1004300</v>
      </c>
      <c r="X16" s="299">
        <f t="shared" si="15"/>
        <v>0</v>
      </c>
      <c r="Y16" s="301"/>
      <c r="Z16" s="300">
        <f t="shared" si="16"/>
        <v>0</v>
      </c>
      <c r="AA16" s="298">
        <f>'Проверочная  таблица'!AG17+'Проверочная  таблица'!T17+'Проверочная  таблица'!L17</f>
        <v>0</v>
      </c>
      <c r="AB16" s="299">
        <f>'Проверочная  таблица'!NO17+'Проверочная  таблица'!OM17+'Проверочная  таблица'!DK17+'Проверочная  таблица'!DS17+'Проверочная  таблица'!DC17+'Проверочная  таблица'!RQ17+'Проверочная  таблица'!JG17+'Проверочная  таблица'!GS17+'Проверочная  таблица'!MO17+'Проверочная  таблица'!LE17+'Проверочная  таблица'!QQ17+'Проверочная  таблица'!EQ17+'Проверочная  таблица'!BU17</f>
        <v>0</v>
      </c>
      <c r="AC16" s="300"/>
      <c r="AD16" s="302">
        <f>'Проверочная  таблица'!VK17+'Проверочная  таблица'!UQ17</f>
        <v>0</v>
      </c>
      <c r="AE16" s="301"/>
      <c r="AF16" s="26">
        <f>'Проверочная  таблица'!C17</f>
        <v>312841594.15999997</v>
      </c>
      <c r="AG16" s="21">
        <f>'Проверочная  таблица'!E17</f>
        <v>49624736</v>
      </c>
      <c r="AH16" s="207">
        <f>'Проверочная  таблица'!AJ17</f>
        <v>97912338.659999996</v>
      </c>
      <c r="AI16" s="20">
        <f>'Проверочная  таблица'!RV17</f>
        <v>165304519.5</v>
      </c>
      <c r="AJ16" s="25">
        <f>'Проверочная  таблица'!SX17</f>
        <v>0</v>
      </c>
      <c r="AK16" s="26"/>
      <c r="AL16" s="22">
        <f t="shared" si="17"/>
        <v>256766301.07999995</v>
      </c>
      <c r="AM16" s="23">
        <f t="shared" si="18"/>
        <v>18384736</v>
      </c>
      <c r="AN16" s="22">
        <f t="shared" si="19"/>
        <v>73760729.069999993</v>
      </c>
      <c r="AO16" s="23">
        <f t="shared" si="20"/>
        <v>164620836.00999999</v>
      </c>
      <c r="AP16" s="23">
        <f t="shared" si="21"/>
        <v>0</v>
      </c>
      <c r="AQ16" s="22"/>
      <c r="AR16" s="24">
        <f t="shared" si="22"/>
        <v>56075293.080000006</v>
      </c>
      <c r="AS16" s="24">
        <f>'Проверочная  таблица'!Q17+'Проверочная  таблица'!AB17+'Проверочная  таблица'!I17</f>
        <v>31240000</v>
      </c>
      <c r="AT16" s="23">
        <f>'Проверочная  таблица'!OD17+'Проверочная  таблица'!RN17+'Проверочная  таблица'!NF17+'Проверочная  таблица'!DP17+'Проверочная  таблица'!DH17+'Проверочная  таблица'!CV17+'Проверочная  таблица'!IF17+'Проверочная  таблица'!GJ17+'Проверочная  таблица'!LZ17+'Проверочная  таблица'!KY17+'Проверочная  таблица'!PP17+'Проверочная  таблица'!EM17+'Проверочная  таблица'!BC17</f>
        <v>24151609.590000004</v>
      </c>
      <c r="AU16" s="22">
        <f>'Проверочная  таблица'!SF17</f>
        <v>683683.49</v>
      </c>
      <c r="AV16" s="23">
        <f>'Проверочная  таблица'!VE17+'Проверочная  таблица'!TW17+'Проверочная  таблица'!UL17</f>
        <v>0</v>
      </c>
      <c r="AW16" s="26"/>
      <c r="AX16" s="298">
        <f t="shared" si="23"/>
        <v>56075293.080000006</v>
      </c>
      <c r="AY16" s="298">
        <f t="shared" si="24"/>
        <v>31240000</v>
      </c>
      <c r="AZ16" s="299">
        <f t="shared" si="2"/>
        <v>24151609.590000004</v>
      </c>
      <c r="BA16" s="300">
        <f t="shared" si="3"/>
        <v>683683.49</v>
      </c>
      <c r="BB16" s="299">
        <f t="shared" si="4"/>
        <v>0</v>
      </c>
      <c r="BC16" s="301"/>
      <c r="BD16" s="300">
        <f t="shared" si="25"/>
        <v>0</v>
      </c>
      <c r="BE16" s="299">
        <f>'Проверочная  таблица'!M17+'Проверочная  таблица'!U17+'Проверочная  таблица'!AH17</f>
        <v>0</v>
      </c>
      <c r="BF16" s="300">
        <f>'Проверочная  таблица'!NR17+'Проверочная  таблица'!OP17+'Проверочная  таблица'!DL17+'Проверочная  таблица'!DT17+'Проверочная  таблица'!DD17+'Проверочная  таблица'!RR17+'Проверочная  таблица'!JP17+'Проверочная  таблица'!GV17+'Проверочная  таблица'!MT17+'Проверочная  таблица'!LF17+'Проверочная  таблица'!QZ17+'Проверочная  таблица'!ER17+'Проверочная  таблица'!CA17</f>
        <v>0</v>
      </c>
      <c r="BG16" s="298"/>
      <c r="BH16" s="302">
        <f>'Проверочная  таблица'!VM17+'Проверочная  таблица'!UR17</f>
        <v>0</v>
      </c>
      <c r="BI16" s="301"/>
      <c r="BK16" s="1254">
        <f t="shared" si="26"/>
        <v>32427.839690000001</v>
      </c>
      <c r="BL16" s="1254">
        <f t="shared" si="27"/>
        <v>0</v>
      </c>
    </row>
    <row r="17" spans="1:64" ht="21.75" customHeight="1" x14ac:dyDescent="0.3">
      <c r="A17" s="27" t="s">
        <v>94</v>
      </c>
      <c r="B17" s="20">
        <f>'Проверочная  таблица'!B18</f>
        <v>608224677.31999993</v>
      </c>
      <c r="C17" s="21">
        <f>'Проверочная  таблица'!D18</f>
        <v>113688478</v>
      </c>
      <c r="D17" s="207">
        <f>'Проверочная  таблица'!AI18</f>
        <v>170329179.31999999</v>
      </c>
      <c r="E17" s="20">
        <f>'Проверочная  таблица'!RS18</f>
        <v>324207020</v>
      </c>
      <c r="F17" s="26">
        <f>'Проверочная  таблица'!SW18</f>
        <v>0</v>
      </c>
      <c r="G17" s="26"/>
      <c r="H17" s="22">
        <f t="shared" si="5"/>
        <v>463391066.63999993</v>
      </c>
      <c r="I17" s="23">
        <f t="shared" si="6"/>
        <v>51536178</v>
      </c>
      <c r="J17" s="22">
        <f t="shared" si="7"/>
        <v>89270168.639999986</v>
      </c>
      <c r="K17" s="23">
        <f t="shared" si="8"/>
        <v>322584720</v>
      </c>
      <c r="L17" s="23">
        <f t="shared" si="9"/>
        <v>0</v>
      </c>
      <c r="M17" s="22"/>
      <c r="N17" s="24">
        <f t="shared" si="10"/>
        <v>144833610.68000001</v>
      </c>
      <c r="O17" s="23">
        <f>'Проверочная  таблица'!P18+'Проверочная  таблица'!AA18+'Проверочная  таблица'!H18</f>
        <v>62152300</v>
      </c>
      <c r="P17" s="22">
        <f>'Проверочная  таблица'!NC18+'Проверочная  таблица'!OA18+'Проверочная  таблица'!CQ18+'Проверочная  таблица'!DG18+'Проверочная  таблица'!DO18+'Проверочная  таблица'!HW18+'Проверочная  таблица'!LU18+'Проверочная  таблица'!GG18+'Проверочная  таблица'!RM18+'Проверочная  таблица'!KU18+'Проверочная  таблица'!PG18+'Проверочная  таблица'!EK18+'Проверочная  таблица'!AW18</f>
        <v>81059010.680000007</v>
      </c>
      <c r="Q17" s="24">
        <f>'Проверочная  таблица'!SE18</f>
        <v>1622300</v>
      </c>
      <c r="R17" s="20">
        <f>'Проверочная  таблица'!VC18+'Проверочная  таблица'!TU18+'Проверочная  таблица'!UI18</f>
        <v>0</v>
      </c>
      <c r="S17" s="25"/>
      <c r="T17" s="298">
        <f t="shared" si="11"/>
        <v>144833610.68000001</v>
      </c>
      <c r="U17" s="298">
        <f t="shared" si="12"/>
        <v>62152300</v>
      </c>
      <c r="V17" s="299">
        <f t="shared" si="13"/>
        <v>81059010.680000007</v>
      </c>
      <c r="W17" s="300">
        <f t="shared" si="14"/>
        <v>1622300</v>
      </c>
      <c r="X17" s="299">
        <f t="shared" si="15"/>
        <v>0</v>
      </c>
      <c r="Y17" s="301"/>
      <c r="Z17" s="300">
        <f t="shared" si="16"/>
        <v>0</v>
      </c>
      <c r="AA17" s="298">
        <f>'Проверочная  таблица'!AG18+'Проверочная  таблица'!T18+'Проверочная  таблица'!L18</f>
        <v>0</v>
      </c>
      <c r="AB17" s="299">
        <f>'Проверочная  таблица'!NO18+'Проверочная  таблица'!OM18+'Проверочная  таблица'!DK18+'Проверочная  таблица'!DS18+'Проверочная  таблица'!DC18+'Проверочная  таблица'!RQ18+'Проверочная  таблица'!JG18+'Проверочная  таблица'!GS18+'Проверочная  таблица'!MO18+'Проверочная  таблица'!LE18+'Проверочная  таблица'!QQ18+'Проверочная  таблица'!EQ18+'Проверочная  таблица'!BU18</f>
        <v>0</v>
      </c>
      <c r="AC17" s="300"/>
      <c r="AD17" s="302">
        <f>'Проверочная  таблица'!VK18+'Проверочная  таблица'!UQ18</f>
        <v>0</v>
      </c>
      <c r="AE17" s="301"/>
      <c r="AF17" s="26">
        <f>'Проверочная  таблица'!C18</f>
        <v>493759988.92000002</v>
      </c>
      <c r="AG17" s="21">
        <f>'Проверочная  таблица'!E18</f>
        <v>87201924</v>
      </c>
      <c r="AH17" s="207">
        <f>'Проверочная  таблица'!AJ18</f>
        <v>141217975.93000001</v>
      </c>
      <c r="AI17" s="20">
        <f>'Проверочная  таблица'!RV18</f>
        <v>265340088.99000001</v>
      </c>
      <c r="AJ17" s="25">
        <f>'Проверочная  таблица'!SX18</f>
        <v>0</v>
      </c>
      <c r="AK17" s="26"/>
      <c r="AL17" s="22">
        <f t="shared" si="17"/>
        <v>384442461.19000006</v>
      </c>
      <c r="AM17" s="23">
        <f t="shared" si="18"/>
        <v>41058672</v>
      </c>
      <c r="AN17" s="22">
        <f t="shared" si="19"/>
        <v>79256000.200000018</v>
      </c>
      <c r="AO17" s="23">
        <f t="shared" si="20"/>
        <v>264127788.99000001</v>
      </c>
      <c r="AP17" s="23">
        <f t="shared" si="21"/>
        <v>0</v>
      </c>
      <c r="AQ17" s="22"/>
      <c r="AR17" s="24">
        <f t="shared" si="22"/>
        <v>109317527.72999999</v>
      </c>
      <c r="AS17" s="24">
        <f>'Проверочная  таблица'!Q18+'Проверочная  таблица'!AB18+'Проверочная  таблица'!I18</f>
        <v>46143252</v>
      </c>
      <c r="AT17" s="23">
        <f>'Проверочная  таблица'!OD18+'Проверочная  таблица'!RN18+'Проверочная  таблица'!NF18+'Проверочная  таблица'!DP18+'Проверочная  таблица'!DH18+'Проверочная  таблица'!CV18+'Проверочная  таблица'!IF18+'Проверочная  таблица'!GJ18+'Проверочная  таблица'!LZ18+'Проверочная  таблица'!KY18+'Проверочная  таблица'!PP18+'Проверочная  таблица'!EM18+'Проверочная  таблица'!BC18</f>
        <v>61961975.729999997</v>
      </c>
      <c r="AU17" s="22">
        <f>'Проверочная  таблица'!SF18</f>
        <v>1212300</v>
      </c>
      <c r="AV17" s="23">
        <f>'Проверочная  таблица'!VE18+'Проверочная  таблица'!TW18+'Проверочная  таблица'!UL18</f>
        <v>0</v>
      </c>
      <c r="AW17" s="26"/>
      <c r="AX17" s="298">
        <f t="shared" si="23"/>
        <v>109317527.72999999</v>
      </c>
      <c r="AY17" s="298">
        <f t="shared" si="24"/>
        <v>46143252</v>
      </c>
      <c r="AZ17" s="299">
        <f t="shared" si="2"/>
        <v>61961975.729999997</v>
      </c>
      <c r="BA17" s="300">
        <f t="shared" si="3"/>
        <v>1212300</v>
      </c>
      <c r="BB17" s="299">
        <f t="shared" si="4"/>
        <v>0</v>
      </c>
      <c r="BC17" s="301"/>
      <c r="BD17" s="300">
        <f t="shared" si="25"/>
        <v>0</v>
      </c>
      <c r="BE17" s="299">
        <f>'Проверочная  таблица'!M18+'Проверочная  таблица'!U18+'Проверочная  таблица'!AH18</f>
        <v>0</v>
      </c>
      <c r="BF17" s="300">
        <f>'Проверочная  таблица'!NR18+'Проверочная  таблица'!OP18+'Проверочная  таблица'!DL18+'Проверочная  таблица'!DT18+'Проверочная  таблица'!DD18+'Проверочная  таблица'!RR18+'Проверочная  таблица'!JP18+'Проверочная  таблица'!GV18+'Проверочная  таблица'!MT18+'Проверочная  таблица'!LF18+'Проверочная  таблица'!QZ18+'Проверочная  таблица'!ER18+'Проверочная  таблица'!CA18</f>
        <v>0</v>
      </c>
      <c r="BG17" s="298"/>
      <c r="BH17" s="302">
        <f>'Проверочная  таблица'!VM18+'Проверочная  таблица'!UR18</f>
        <v>0</v>
      </c>
      <c r="BI17" s="301"/>
      <c r="BK17" s="1254">
        <f t="shared" si="26"/>
        <v>82681.31068000001</v>
      </c>
      <c r="BL17" s="1254">
        <f t="shared" si="27"/>
        <v>0</v>
      </c>
    </row>
    <row r="18" spans="1:64" ht="21.75" customHeight="1" x14ac:dyDescent="0.3">
      <c r="A18" s="19" t="s">
        <v>95</v>
      </c>
      <c r="B18" s="20">
        <f>'Проверочная  таблица'!B19</f>
        <v>527074921.54999995</v>
      </c>
      <c r="C18" s="21">
        <f>'Проверочная  таблица'!D19</f>
        <v>106627615</v>
      </c>
      <c r="D18" s="207">
        <f>'Проверочная  таблица'!AI19</f>
        <v>143856731.54999998</v>
      </c>
      <c r="E18" s="20">
        <f>'Проверочная  таблица'!RS19</f>
        <v>276590575</v>
      </c>
      <c r="F18" s="26">
        <f>'Проверочная  таблица'!SW19</f>
        <v>0</v>
      </c>
      <c r="G18" s="26"/>
      <c r="H18" s="22">
        <f t="shared" si="5"/>
        <v>403717933.74999994</v>
      </c>
      <c r="I18" s="23">
        <f t="shared" si="6"/>
        <v>39827015</v>
      </c>
      <c r="J18" s="22">
        <f t="shared" si="7"/>
        <v>88975343.74999997</v>
      </c>
      <c r="K18" s="23">
        <f t="shared" si="8"/>
        <v>274915575</v>
      </c>
      <c r="L18" s="23">
        <f t="shared" si="9"/>
        <v>0</v>
      </c>
      <c r="M18" s="22"/>
      <c r="N18" s="24">
        <f t="shared" si="10"/>
        <v>123356987.80000001</v>
      </c>
      <c r="O18" s="23">
        <f>'Проверочная  таблица'!P19+'Проверочная  таблица'!AA19+'Проверочная  таблица'!H19</f>
        <v>66800600</v>
      </c>
      <c r="P18" s="22">
        <f>'Проверочная  таблица'!NC19+'Проверочная  таблица'!OA19+'Проверочная  таблица'!CQ19+'Проверочная  таблица'!DG19+'Проверочная  таблица'!DO19+'Проверочная  таблица'!HW19+'Проверочная  таблица'!LU19+'Проверочная  таблица'!GG19+'Проверочная  таблица'!RM19+'Проверочная  таблица'!KU19+'Проверочная  таблица'!PG19+'Проверочная  таблица'!EK19+'Проверочная  таблица'!AW19</f>
        <v>54881387.800000004</v>
      </c>
      <c r="Q18" s="24">
        <f>'Проверочная  таблица'!SE19</f>
        <v>1675000</v>
      </c>
      <c r="R18" s="20">
        <f>'Проверочная  таблица'!VC19+'Проверочная  таблица'!TU19+'Проверочная  таблица'!UI19</f>
        <v>0</v>
      </c>
      <c r="S18" s="25"/>
      <c r="T18" s="298">
        <f t="shared" si="11"/>
        <v>75234713.550000012</v>
      </c>
      <c r="U18" s="298">
        <f t="shared" si="12"/>
        <v>52148900</v>
      </c>
      <c r="V18" s="299">
        <f t="shared" si="13"/>
        <v>21410813.550000008</v>
      </c>
      <c r="W18" s="300">
        <f t="shared" si="14"/>
        <v>1675000</v>
      </c>
      <c r="X18" s="299">
        <f t="shared" si="15"/>
        <v>0</v>
      </c>
      <c r="Y18" s="301"/>
      <c r="Z18" s="300">
        <f t="shared" si="16"/>
        <v>48122274.25</v>
      </c>
      <c r="AA18" s="298">
        <f>'Проверочная  таблица'!AG19+'Проверочная  таблица'!T19+'Проверочная  таблица'!L19</f>
        <v>14651700</v>
      </c>
      <c r="AB18" s="299">
        <f>'Проверочная  таблица'!NO19+'Проверочная  таблица'!OM19+'Проверочная  таблица'!DK19+'Проверочная  таблица'!DS19+'Проверочная  таблица'!DC19+'Проверочная  таблица'!RQ19+'Проверочная  таблица'!JG19+'Проверочная  таблица'!GS19+'Проверочная  таблица'!MO19+'Проверочная  таблица'!LE19+'Проверочная  таблица'!QQ19+'Проверочная  таблица'!EQ19+'Проверочная  таблица'!BU19</f>
        <v>33470574.249999996</v>
      </c>
      <c r="AC18" s="300"/>
      <c r="AD18" s="302">
        <f>'Проверочная  таблица'!VK19+'Проверочная  таблица'!UQ19</f>
        <v>0</v>
      </c>
      <c r="AE18" s="301"/>
      <c r="AF18" s="26">
        <f>'Проверочная  таблица'!C19</f>
        <v>439392163.60000002</v>
      </c>
      <c r="AG18" s="21">
        <f>'Проверочная  таблица'!E19</f>
        <v>80519904</v>
      </c>
      <c r="AH18" s="207">
        <f>'Проверочная  таблица'!AJ19</f>
        <v>101309602.35000001</v>
      </c>
      <c r="AI18" s="20">
        <f>'Проверочная  таблица'!RV19</f>
        <v>257562657.25</v>
      </c>
      <c r="AJ18" s="25">
        <f>'Проверочная  таблица'!SX19</f>
        <v>0</v>
      </c>
      <c r="AK18" s="26"/>
      <c r="AL18" s="22">
        <f t="shared" si="17"/>
        <v>357181941</v>
      </c>
      <c r="AM18" s="23">
        <f t="shared" si="18"/>
        <v>29669454</v>
      </c>
      <c r="AN18" s="22">
        <f t="shared" si="19"/>
        <v>71060875.100000009</v>
      </c>
      <c r="AO18" s="23">
        <f t="shared" si="20"/>
        <v>256451611.90000001</v>
      </c>
      <c r="AP18" s="23">
        <f t="shared" si="21"/>
        <v>0</v>
      </c>
      <c r="AQ18" s="22"/>
      <c r="AR18" s="24">
        <f t="shared" si="22"/>
        <v>82210222.599999994</v>
      </c>
      <c r="AS18" s="24">
        <f>'Проверочная  таблица'!Q19+'Проверочная  таблица'!AB19+'Проверочная  таблица'!I19</f>
        <v>50850450</v>
      </c>
      <c r="AT18" s="23">
        <f>'Проверочная  таблица'!OD19+'Проверочная  таблица'!RN19+'Проверочная  таблица'!NF19+'Проверочная  таблица'!DP19+'Проверочная  таблица'!DH19+'Проверочная  таблица'!CV19+'Проверочная  таблица'!IF19+'Проверочная  таблица'!GJ19+'Проверочная  таблица'!LZ19+'Проверочная  таблица'!KY19+'Проверочная  таблица'!PP19+'Проверочная  таблица'!EM19+'Проверочная  таблица'!BC19</f>
        <v>30248727.250000004</v>
      </c>
      <c r="AU18" s="22">
        <f>'Проверочная  таблица'!SF19</f>
        <v>1111045.3500000001</v>
      </c>
      <c r="AV18" s="23">
        <f>'Проверочная  таблица'!VE19+'Проверочная  таблица'!TW19+'Проверочная  таблица'!UL19</f>
        <v>0</v>
      </c>
      <c r="AW18" s="26"/>
      <c r="AX18" s="298">
        <f t="shared" si="23"/>
        <v>51467568.900000006</v>
      </c>
      <c r="AY18" s="298">
        <f t="shared" si="24"/>
        <v>39111675</v>
      </c>
      <c r="AZ18" s="299">
        <f t="shared" si="2"/>
        <v>11244848.550000004</v>
      </c>
      <c r="BA18" s="300">
        <f t="shared" si="3"/>
        <v>1111045.3500000001</v>
      </c>
      <c r="BB18" s="299">
        <f t="shared" si="4"/>
        <v>0</v>
      </c>
      <c r="BC18" s="301"/>
      <c r="BD18" s="300">
        <f t="shared" si="25"/>
        <v>30742653.699999999</v>
      </c>
      <c r="BE18" s="299">
        <f>'Проверочная  таблица'!M19+'Проверочная  таблица'!U19+'Проверочная  таблица'!AH19</f>
        <v>11738775</v>
      </c>
      <c r="BF18" s="300">
        <f>'Проверочная  таблица'!NR19+'Проверочная  таблица'!OP19+'Проверочная  таблица'!DL19+'Проверочная  таблица'!DT19+'Проверочная  таблица'!DD19+'Проверочная  таблица'!RR19+'Проверочная  таблица'!JP19+'Проверочная  таблица'!GV19+'Проверочная  таблица'!MT19+'Проверочная  таблица'!LF19+'Проверочная  таблица'!QZ19+'Проверочная  таблица'!ER19+'Проверочная  таблица'!CA19</f>
        <v>19003878.699999999</v>
      </c>
      <c r="BG18" s="298"/>
      <c r="BH18" s="302">
        <f>'Проверочная  таблица'!VM19+'Проверочная  таблица'!UR19</f>
        <v>0</v>
      </c>
      <c r="BI18" s="301"/>
      <c r="BK18" s="1254">
        <f t="shared" si="26"/>
        <v>23085.81355000001</v>
      </c>
      <c r="BL18" s="1254">
        <f t="shared" si="27"/>
        <v>33470.574249999998</v>
      </c>
    </row>
    <row r="19" spans="1:64" ht="21.75" customHeight="1" x14ac:dyDescent="0.3">
      <c r="A19" s="27" t="s">
        <v>96</v>
      </c>
      <c r="B19" s="20">
        <f>'Проверочная  таблица'!B20</f>
        <v>467495559.15999997</v>
      </c>
      <c r="C19" s="21">
        <f>'Проверочная  таблица'!D20</f>
        <v>136784379</v>
      </c>
      <c r="D19" s="207">
        <f>'Проверочная  таблица'!AI20</f>
        <v>121683711.16</v>
      </c>
      <c r="E19" s="20">
        <f>'Проверочная  таблица'!RS20</f>
        <v>209027469</v>
      </c>
      <c r="F19" s="26">
        <f>'Проверочная  таблица'!SW20</f>
        <v>0</v>
      </c>
      <c r="G19" s="26"/>
      <c r="H19" s="22">
        <f t="shared" si="5"/>
        <v>367769685.01999998</v>
      </c>
      <c r="I19" s="23">
        <f t="shared" si="6"/>
        <v>91890879</v>
      </c>
      <c r="J19" s="22">
        <f t="shared" si="7"/>
        <v>68017937.019999981</v>
      </c>
      <c r="K19" s="23">
        <f t="shared" si="8"/>
        <v>207860869</v>
      </c>
      <c r="L19" s="23">
        <f t="shared" si="9"/>
        <v>0</v>
      </c>
      <c r="M19" s="22"/>
      <c r="N19" s="24">
        <f t="shared" si="10"/>
        <v>99725874.140000015</v>
      </c>
      <c r="O19" s="23">
        <f>'Проверочная  таблица'!P20+'Проверочная  таблица'!AA20+'Проверочная  таблица'!H20</f>
        <v>44893500</v>
      </c>
      <c r="P19" s="22">
        <f>'Проверочная  таблица'!NC20+'Проверочная  таблица'!OA20+'Проверочная  таблица'!CQ20+'Проверочная  таблица'!DG20+'Проверочная  таблица'!DO20+'Проверочная  таблица'!HW20+'Проверочная  таблица'!LU20+'Проверочная  таблица'!GG20+'Проверочная  таблица'!RM20+'Проверочная  таблица'!KU20+'Проверочная  таблица'!PG20+'Проверочная  таблица'!EK20+'Проверочная  таблица'!AW20</f>
        <v>53665774.140000008</v>
      </c>
      <c r="Q19" s="24">
        <f>'Проверочная  таблица'!SE20</f>
        <v>1166600</v>
      </c>
      <c r="R19" s="20">
        <f>'Проверочная  таблица'!VC20+'Проверочная  таблица'!TU20+'Проверочная  таблица'!UI20</f>
        <v>0</v>
      </c>
      <c r="S19" s="25"/>
      <c r="T19" s="298">
        <f t="shared" si="11"/>
        <v>99725874.140000015</v>
      </c>
      <c r="U19" s="298">
        <f t="shared" si="12"/>
        <v>44893500</v>
      </c>
      <c r="V19" s="299">
        <f t="shared" si="13"/>
        <v>53665774.140000008</v>
      </c>
      <c r="W19" s="300">
        <f t="shared" si="14"/>
        <v>1166600</v>
      </c>
      <c r="X19" s="299">
        <f t="shared" si="15"/>
        <v>0</v>
      </c>
      <c r="Y19" s="301"/>
      <c r="Z19" s="300">
        <f t="shared" si="16"/>
        <v>0</v>
      </c>
      <c r="AA19" s="298">
        <f>'Проверочная  таблица'!AG20+'Проверочная  таблица'!T20+'Проверочная  таблица'!L20</f>
        <v>0</v>
      </c>
      <c r="AB19" s="299">
        <f>'Проверочная  таблица'!NO20+'Проверочная  таблица'!OM20+'Проверочная  таблица'!DK20+'Проверочная  таблица'!DS20+'Проверочная  таблица'!DC20+'Проверочная  таблица'!RQ20+'Проверочная  таблица'!JG20+'Проверочная  таблица'!GS20+'Проверочная  таблица'!MO20+'Проверочная  таблица'!LE20+'Проверочная  таблица'!QQ20+'Проверочная  таблица'!EQ20+'Проверочная  таблица'!BU20</f>
        <v>0</v>
      </c>
      <c r="AC19" s="300"/>
      <c r="AD19" s="302">
        <f>'Проверочная  таблица'!VK20+'Проверочная  таблица'!UQ20</f>
        <v>0</v>
      </c>
      <c r="AE19" s="301"/>
      <c r="AF19" s="26">
        <f>'Проверочная  таблица'!C20</f>
        <v>381639687.42000002</v>
      </c>
      <c r="AG19" s="21">
        <f>'Проверочная  таблица'!E20</f>
        <v>119002688.62</v>
      </c>
      <c r="AH19" s="207">
        <f>'Проверочная  таблица'!AJ20</f>
        <v>97385290.679999992</v>
      </c>
      <c r="AI19" s="20">
        <f>'Проверочная  таблица'!RV20</f>
        <v>165251708.12</v>
      </c>
      <c r="AJ19" s="25">
        <f>'Проверочная  таблица'!SX20</f>
        <v>0</v>
      </c>
      <c r="AK19" s="26"/>
      <c r="AL19" s="22">
        <f t="shared" si="17"/>
        <v>309167155.17000002</v>
      </c>
      <c r="AM19" s="23">
        <f t="shared" si="18"/>
        <v>80999945.330000013</v>
      </c>
      <c r="AN19" s="22">
        <f t="shared" si="19"/>
        <v>63645779.019999996</v>
      </c>
      <c r="AO19" s="23">
        <f t="shared" si="20"/>
        <v>164521430.81999999</v>
      </c>
      <c r="AP19" s="23">
        <f t="shared" si="21"/>
        <v>0</v>
      </c>
      <c r="AQ19" s="22"/>
      <c r="AR19" s="24">
        <f t="shared" si="22"/>
        <v>72472532.249999985</v>
      </c>
      <c r="AS19" s="24">
        <f>'Проверочная  таблица'!Q20+'Проверочная  таблица'!AB20+'Проверочная  таблица'!I20</f>
        <v>38002743.289999999</v>
      </c>
      <c r="AT19" s="23">
        <f>'Проверочная  таблица'!OD20+'Проверочная  таблица'!RN20+'Проверочная  таблица'!NF20+'Проверочная  таблица'!DP20+'Проверочная  таблица'!DH20+'Проверочная  таблица'!CV20+'Проверочная  таблица'!IF20+'Проверочная  таблица'!GJ20+'Проверочная  таблица'!LZ20+'Проверочная  таблица'!KY20+'Проверочная  таблица'!PP20+'Проверочная  таблица'!EM20+'Проверочная  таблица'!BC20</f>
        <v>33739511.659999996</v>
      </c>
      <c r="AU19" s="22">
        <f>'Проверочная  таблица'!SF20</f>
        <v>730277.3</v>
      </c>
      <c r="AV19" s="23">
        <f>'Проверочная  таблица'!VE20+'Проверочная  таблица'!TW20+'Проверочная  таблица'!UL20</f>
        <v>0</v>
      </c>
      <c r="AW19" s="26"/>
      <c r="AX19" s="298">
        <f t="shared" si="23"/>
        <v>72472532.249999985</v>
      </c>
      <c r="AY19" s="298">
        <f t="shared" si="24"/>
        <v>38002743.289999999</v>
      </c>
      <c r="AZ19" s="299">
        <f t="shared" si="2"/>
        <v>33739511.659999996</v>
      </c>
      <c r="BA19" s="300">
        <f t="shared" si="3"/>
        <v>730277.3</v>
      </c>
      <c r="BB19" s="299">
        <f t="shared" si="4"/>
        <v>0</v>
      </c>
      <c r="BC19" s="301"/>
      <c r="BD19" s="300">
        <f t="shared" si="25"/>
        <v>0</v>
      </c>
      <c r="BE19" s="299">
        <f>'Проверочная  таблица'!M20+'Проверочная  таблица'!U20+'Проверочная  таблица'!AH20</f>
        <v>0</v>
      </c>
      <c r="BF19" s="300">
        <f>'Проверочная  таблица'!NR20+'Проверочная  таблица'!OP20+'Проверочная  таблица'!DL20+'Проверочная  таблица'!DT20+'Проверочная  таблица'!DD20+'Проверочная  таблица'!RR20+'Проверочная  таблица'!JP20+'Проверочная  таблица'!GV20+'Проверочная  таблица'!MT20+'Проверочная  таблица'!LF20+'Проверочная  таблица'!QZ20+'Проверочная  таблица'!ER20+'Проверочная  таблица'!CA20</f>
        <v>0</v>
      </c>
      <c r="BG19" s="298"/>
      <c r="BH19" s="302">
        <f>'Проверочная  таблица'!VM20+'Проверочная  таблица'!UR20</f>
        <v>0</v>
      </c>
      <c r="BI19" s="301"/>
      <c r="BK19" s="1254">
        <f t="shared" si="26"/>
        <v>54832.374140000007</v>
      </c>
      <c r="BL19" s="1254">
        <f t="shared" si="27"/>
        <v>0</v>
      </c>
    </row>
    <row r="20" spans="1:64" ht="21.75" customHeight="1" x14ac:dyDescent="0.3">
      <c r="A20" s="19" t="s">
        <v>97</v>
      </c>
      <c r="B20" s="20">
        <f>'Проверочная  таблица'!B21</f>
        <v>389327542.31999999</v>
      </c>
      <c r="C20" s="21">
        <f>'Проверочная  таблица'!D21</f>
        <v>62395550</v>
      </c>
      <c r="D20" s="207">
        <f>'Проверочная  таблица'!AI21</f>
        <v>153253411.31999999</v>
      </c>
      <c r="E20" s="20">
        <f>'Проверочная  таблица'!RS21</f>
        <v>173678581</v>
      </c>
      <c r="F20" s="26">
        <f>'Проверочная  таблица'!SW21</f>
        <v>0</v>
      </c>
      <c r="G20" s="26"/>
      <c r="H20" s="22">
        <f t="shared" si="5"/>
        <v>336545305.70999998</v>
      </c>
      <c r="I20" s="23">
        <f t="shared" si="6"/>
        <v>39883650</v>
      </c>
      <c r="J20" s="22">
        <f t="shared" si="7"/>
        <v>123637174.70999999</v>
      </c>
      <c r="K20" s="23">
        <f t="shared" si="8"/>
        <v>173024481</v>
      </c>
      <c r="L20" s="23">
        <f t="shared" si="9"/>
        <v>0</v>
      </c>
      <c r="M20" s="22"/>
      <c r="N20" s="24">
        <f t="shared" si="10"/>
        <v>52782236.609999999</v>
      </c>
      <c r="O20" s="23">
        <f>'Проверочная  таблица'!P21+'Проверочная  таблица'!AA21+'Проверочная  таблица'!H21</f>
        <v>22511900</v>
      </c>
      <c r="P20" s="22">
        <f>'Проверочная  таблица'!NC21+'Проверочная  таблица'!OA21+'Проверочная  таблица'!CQ21+'Проверочная  таблица'!DG21+'Проверочная  таблица'!DO21+'Проверочная  таблица'!HW21+'Проверочная  таблица'!LU21+'Проверочная  таблица'!GG21+'Проверочная  таблица'!RM21+'Проверочная  таблица'!KU21+'Проверочная  таблица'!PG21+'Проверочная  таблица'!EK21+'Проверочная  таблица'!AW21</f>
        <v>29616236.609999999</v>
      </c>
      <c r="Q20" s="24">
        <f>'Проверочная  таблица'!SE21</f>
        <v>654100</v>
      </c>
      <c r="R20" s="20">
        <f>'Проверочная  таблица'!VC21+'Проверочная  таблица'!TU21+'Проверочная  таблица'!UI21</f>
        <v>0</v>
      </c>
      <c r="S20" s="25"/>
      <c r="T20" s="298">
        <f t="shared" si="11"/>
        <v>52782236.609999999</v>
      </c>
      <c r="U20" s="298">
        <f t="shared" si="12"/>
        <v>22511900</v>
      </c>
      <c r="V20" s="299">
        <f t="shared" si="13"/>
        <v>29616236.609999999</v>
      </c>
      <c r="W20" s="300">
        <f t="shared" si="14"/>
        <v>654100</v>
      </c>
      <c r="X20" s="299">
        <f t="shared" si="15"/>
        <v>0</v>
      </c>
      <c r="Y20" s="301"/>
      <c r="Z20" s="300">
        <f t="shared" si="16"/>
        <v>0</v>
      </c>
      <c r="AA20" s="298">
        <f>'Проверочная  таблица'!AG21+'Проверочная  таблица'!T21+'Проверочная  таблица'!L21</f>
        <v>0</v>
      </c>
      <c r="AB20" s="299">
        <f>'Проверочная  таблица'!NO21+'Проверочная  таблица'!OM21+'Проверочная  таблица'!DK21+'Проверочная  таблица'!DS21+'Проверочная  таблица'!DC21+'Проверочная  таблица'!RQ21+'Проверочная  таблица'!JG21+'Проверочная  таблица'!GS21+'Проверочная  таблица'!MO21+'Проверочная  таблица'!LE21+'Проверочная  таблица'!QQ21+'Проверочная  таблица'!EQ21+'Проверочная  таблица'!BU21</f>
        <v>0</v>
      </c>
      <c r="AC20" s="300"/>
      <c r="AD20" s="302">
        <f>'Проверочная  таблица'!VK21+'Проверочная  таблица'!UQ21</f>
        <v>0</v>
      </c>
      <c r="AE20" s="301"/>
      <c r="AF20" s="26">
        <f>'Проверочная  таблица'!C21</f>
        <v>314319611.27999997</v>
      </c>
      <c r="AG20" s="21">
        <f>'Проверочная  таблица'!E21</f>
        <v>47686306</v>
      </c>
      <c r="AH20" s="207">
        <f>'Проверочная  таблица'!AJ21</f>
        <v>122823792.39000002</v>
      </c>
      <c r="AI20" s="20">
        <f>'Проверочная  таблица'!RV21</f>
        <v>143809512.88999999</v>
      </c>
      <c r="AJ20" s="25">
        <f>'Проверочная  таблица'!SX21</f>
        <v>0</v>
      </c>
      <c r="AK20" s="26"/>
      <c r="AL20" s="22">
        <f t="shared" si="17"/>
        <v>274114031.31999999</v>
      </c>
      <c r="AM20" s="23">
        <f t="shared" si="18"/>
        <v>30346700</v>
      </c>
      <c r="AN20" s="22">
        <f t="shared" si="19"/>
        <v>100388161.78000002</v>
      </c>
      <c r="AO20" s="23">
        <f t="shared" si="20"/>
        <v>143379169.53999999</v>
      </c>
      <c r="AP20" s="23">
        <f t="shared" si="21"/>
        <v>0</v>
      </c>
      <c r="AQ20" s="22"/>
      <c r="AR20" s="24">
        <f t="shared" si="22"/>
        <v>40205579.960000001</v>
      </c>
      <c r="AS20" s="24">
        <f>'Проверочная  таблица'!Q21+'Проверочная  таблица'!AB21+'Проверочная  таблица'!I21</f>
        <v>17339606</v>
      </c>
      <c r="AT20" s="23">
        <f>'Проверочная  таблица'!OD21+'Проверочная  таблица'!RN21+'Проверочная  таблица'!NF21+'Проверочная  таблица'!DP21+'Проверочная  таблица'!DH21+'Проверочная  таблица'!CV21+'Проверочная  таблица'!IF21+'Проверочная  таблица'!GJ21+'Проверочная  таблица'!LZ21+'Проверочная  таблица'!KY21+'Проверочная  таблица'!PP21+'Проверочная  таблица'!EM21+'Проверочная  таблица'!BC21</f>
        <v>22435630.609999999</v>
      </c>
      <c r="AU20" s="22">
        <f>'Проверочная  таблица'!SF21</f>
        <v>430343.35</v>
      </c>
      <c r="AV20" s="23">
        <f>'Проверочная  таблица'!VE21+'Проверочная  таблица'!TW21+'Проверочная  таблица'!UL21</f>
        <v>0</v>
      </c>
      <c r="AW20" s="26"/>
      <c r="AX20" s="298">
        <f t="shared" si="23"/>
        <v>40205579.960000001</v>
      </c>
      <c r="AY20" s="298">
        <f t="shared" si="24"/>
        <v>17339606</v>
      </c>
      <c r="AZ20" s="299">
        <f t="shared" si="2"/>
        <v>22435630.609999999</v>
      </c>
      <c r="BA20" s="300">
        <f t="shared" si="3"/>
        <v>430343.35</v>
      </c>
      <c r="BB20" s="299">
        <f t="shared" si="4"/>
        <v>0</v>
      </c>
      <c r="BC20" s="301"/>
      <c r="BD20" s="300">
        <f t="shared" si="25"/>
        <v>0</v>
      </c>
      <c r="BE20" s="299">
        <f>'Проверочная  таблица'!M21+'Проверочная  таблица'!U21+'Проверочная  таблица'!AH21</f>
        <v>0</v>
      </c>
      <c r="BF20" s="300">
        <f>'Проверочная  таблица'!NR21+'Проверочная  таблица'!OP21+'Проверочная  таблица'!DL21+'Проверочная  таблица'!DT21+'Проверочная  таблица'!DD21+'Проверочная  таблица'!RR21+'Проверочная  таблица'!JP21+'Проверочная  таблица'!GV21+'Проверочная  таблица'!MT21+'Проверочная  таблица'!LF21+'Проверочная  таблица'!QZ21+'Проверочная  таблица'!ER21+'Проверочная  таблица'!CA21</f>
        <v>0</v>
      </c>
      <c r="BG20" s="298"/>
      <c r="BH20" s="302">
        <f>'Проверочная  таблица'!VM21+'Проверочная  таблица'!UR21</f>
        <v>0</v>
      </c>
      <c r="BI20" s="301"/>
      <c r="BK20" s="1254">
        <f t="shared" si="26"/>
        <v>30270.336609999998</v>
      </c>
      <c r="BL20" s="1254">
        <f t="shared" si="27"/>
        <v>0</v>
      </c>
    </row>
    <row r="21" spans="1:64" ht="21.75" customHeight="1" x14ac:dyDescent="0.3">
      <c r="A21" s="27" t="s">
        <v>98</v>
      </c>
      <c r="B21" s="20">
        <f>'Проверочная  таблица'!B22</f>
        <v>1021499449.13</v>
      </c>
      <c r="C21" s="21">
        <f>'Проверочная  таблица'!D22</f>
        <v>151258025</v>
      </c>
      <c r="D21" s="207">
        <f>'Проверочная  таблица'!AI22</f>
        <v>282436701.13</v>
      </c>
      <c r="E21" s="20">
        <f>'Проверочная  таблица'!RS22</f>
        <v>397804723</v>
      </c>
      <c r="F21" s="26">
        <f>'Проверочная  таблица'!SW22</f>
        <v>190000000</v>
      </c>
      <c r="G21" s="26"/>
      <c r="H21" s="22">
        <f t="shared" si="5"/>
        <v>575439466.76999998</v>
      </c>
      <c r="I21" s="23">
        <f t="shared" si="6"/>
        <v>55235625</v>
      </c>
      <c r="J21" s="22">
        <f t="shared" si="7"/>
        <v>124165018.77000001</v>
      </c>
      <c r="K21" s="23">
        <f t="shared" si="8"/>
        <v>396038823</v>
      </c>
      <c r="L21" s="23">
        <f t="shared" si="9"/>
        <v>0</v>
      </c>
      <c r="M21" s="22"/>
      <c r="N21" s="24">
        <f t="shared" si="10"/>
        <v>446059982.36000001</v>
      </c>
      <c r="O21" s="23">
        <f>'Проверочная  таблица'!P22+'Проверочная  таблица'!AA22+'Проверочная  таблица'!H22</f>
        <v>96022400</v>
      </c>
      <c r="P21" s="22">
        <f>'Проверочная  таблица'!NC22+'Проверочная  таблица'!OA22+'Проверочная  таблица'!CQ22+'Проверочная  таблица'!DG22+'Проверочная  таблица'!DO22+'Проверочная  таблица'!HW22+'Проверочная  таблица'!LU22+'Проверочная  таблица'!GG22+'Проверочная  таблица'!RM22+'Проверочная  таблица'!KU22+'Проверочная  таблица'!PG22+'Проверочная  таблица'!EK22+'Проверочная  таблица'!AW22</f>
        <v>158271682.35999998</v>
      </c>
      <c r="Q21" s="24">
        <f>'Проверочная  таблица'!SE22</f>
        <v>1765900</v>
      </c>
      <c r="R21" s="20">
        <f>'Проверочная  таблица'!VC22+'Проверочная  таблица'!TU22+'Проверочная  таблица'!UI22</f>
        <v>190000000</v>
      </c>
      <c r="S21" s="25"/>
      <c r="T21" s="298">
        <f t="shared" si="11"/>
        <v>293059881.71999997</v>
      </c>
      <c r="U21" s="298">
        <f t="shared" si="12"/>
        <v>51651200</v>
      </c>
      <c r="V21" s="299">
        <f t="shared" si="13"/>
        <v>49642781.719999984</v>
      </c>
      <c r="W21" s="300">
        <f t="shared" si="14"/>
        <v>1765900</v>
      </c>
      <c r="X21" s="299">
        <f t="shared" si="15"/>
        <v>190000000</v>
      </c>
      <c r="Y21" s="301"/>
      <c r="Z21" s="300">
        <f t="shared" si="16"/>
        <v>153000100.63999999</v>
      </c>
      <c r="AA21" s="298">
        <f>'Проверочная  таблица'!AG22+'Проверочная  таблица'!T22+'Проверочная  таблица'!L22</f>
        <v>44371200</v>
      </c>
      <c r="AB21" s="299">
        <f>'Проверочная  таблица'!NO22+'Проверочная  таблица'!OM22+'Проверочная  таблица'!DK22+'Проверочная  таблица'!DS22+'Проверочная  таблица'!DC22+'Проверочная  таблица'!RQ22+'Проверочная  таблица'!JG22+'Проверочная  таблица'!GS22+'Проверочная  таблица'!MO22+'Проверочная  таблица'!LE22+'Проверочная  таблица'!QQ22+'Проверочная  таблица'!EQ22+'Проверочная  таблица'!BU22</f>
        <v>108628900.64</v>
      </c>
      <c r="AC21" s="300"/>
      <c r="AD21" s="302">
        <f>'Проверочная  таблица'!VK22+'Проверочная  таблица'!UQ22</f>
        <v>0</v>
      </c>
      <c r="AE21" s="301"/>
      <c r="AF21" s="26">
        <f>'Проверочная  таблица'!C22</f>
        <v>827900544.05999994</v>
      </c>
      <c r="AG21" s="21">
        <f>'Проверочная  таблица'!E22</f>
        <v>130106693.15000001</v>
      </c>
      <c r="AH21" s="207">
        <f>'Проверочная  таблица'!AJ22</f>
        <v>228452367.00999999</v>
      </c>
      <c r="AI21" s="20">
        <f>'Проверочная  таблица'!RV22</f>
        <v>328579877.13999999</v>
      </c>
      <c r="AJ21" s="25">
        <f>'Проверочная  таблица'!SX22</f>
        <v>140761606.75999999</v>
      </c>
      <c r="AK21" s="26"/>
      <c r="AL21" s="22">
        <f t="shared" si="17"/>
        <v>496097669.29999995</v>
      </c>
      <c r="AM21" s="23">
        <f t="shared" si="18"/>
        <v>45638008.600000009</v>
      </c>
      <c r="AN21" s="22">
        <f t="shared" si="19"/>
        <v>122921254.56999999</v>
      </c>
      <c r="AO21" s="23">
        <f t="shared" si="20"/>
        <v>327538406.13</v>
      </c>
      <c r="AP21" s="23">
        <f t="shared" si="21"/>
        <v>0</v>
      </c>
      <c r="AQ21" s="22"/>
      <c r="AR21" s="24">
        <f t="shared" si="22"/>
        <v>331802874.75999999</v>
      </c>
      <c r="AS21" s="24">
        <f>'Проверочная  таблица'!Q22+'Проверочная  таблица'!AB22+'Проверочная  таблица'!I22</f>
        <v>84468684.549999997</v>
      </c>
      <c r="AT21" s="23">
        <f>'Проверочная  таблица'!OD22+'Проверочная  таблица'!RN22+'Проверочная  таблица'!NF22+'Проверочная  таблица'!DP22+'Проверочная  таблица'!DH22+'Проверочная  таблица'!CV22+'Проверочная  таблица'!IF22+'Проверочная  таблица'!GJ22+'Проверочная  таблица'!LZ22+'Проверочная  таблица'!KY22+'Проверочная  таблица'!PP22+'Проверочная  таблица'!EM22+'Проверочная  таблица'!BC22</f>
        <v>105531112.44</v>
      </c>
      <c r="AU21" s="22">
        <f>'Проверочная  таблица'!SF22</f>
        <v>1041471.01</v>
      </c>
      <c r="AV21" s="23">
        <f>'Проверочная  таблица'!VE22+'Проверочная  таблица'!TW22+'Проверочная  таблица'!UL22</f>
        <v>140761606.75999999</v>
      </c>
      <c r="AW21" s="26"/>
      <c r="AX21" s="298">
        <f t="shared" si="23"/>
        <v>200839753.36999997</v>
      </c>
      <c r="AY21" s="298">
        <f t="shared" si="24"/>
        <v>40490284.579999998</v>
      </c>
      <c r="AZ21" s="299">
        <f t="shared" si="2"/>
        <v>18546391.019999996</v>
      </c>
      <c r="BA21" s="300">
        <f t="shared" si="3"/>
        <v>1041471.01</v>
      </c>
      <c r="BB21" s="299">
        <f t="shared" si="4"/>
        <v>140761606.75999999</v>
      </c>
      <c r="BC21" s="301"/>
      <c r="BD21" s="300">
        <f t="shared" si="25"/>
        <v>130963121.39</v>
      </c>
      <c r="BE21" s="299">
        <f>'Проверочная  таблица'!M22+'Проверочная  таблица'!U22+'Проверочная  таблица'!AH22</f>
        <v>43978399.969999999</v>
      </c>
      <c r="BF21" s="300">
        <f>'Проверочная  таблица'!NR22+'Проверочная  таблица'!OP22+'Проверочная  таблица'!DL22+'Проверочная  таблица'!DT22+'Проверочная  таблица'!DD22+'Проверочная  таблица'!RR22+'Проверочная  таблица'!JP22+'Проверочная  таблица'!GV22+'Проверочная  таблица'!MT22+'Проверочная  таблица'!LF22+'Проверочная  таблица'!QZ22+'Проверочная  таблица'!ER22+'Проверочная  таблица'!CA22</f>
        <v>86984721.420000002</v>
      </c>
      <c r="BG21" s="298"/>
      <c r="BH21" s="302">
        <f>'Проверочная  таблица'!VM22+'Проверочная  таблица'!UR22</f>
        <v>0</v>
      </c>
      <c r="BI21" s="301"/>
      <c r="BK21" s="1254">
        <f t="shared" si="26"/>
        <v>241408.68171999996</v>
      </c>
      <c r="BL21" s="1254">
        <f t="shared" si="27"/>
        <v>108628.90064000001</v>
      </c>
    </row>
    <row r="22" spans="1:64" ht="21.75" customHeight="1" x14ac:dyDescent="0.3">
      <c r="A22" s="19" t="s">
        <v>99</v>
      </c>
      <c r="B22" s="20">
        <f>'Проверочная  таблица'!B23</f>
        <v>406403431.61000001</v>
      </c>
      <c r="C22" s="21">
        <f>'Проверочная  таблица'!D23</f>
        <v>82784492</v>
      </c>
      <c r="D22" s="207">
        <f>'Проверочная  таблица'!AI23</f>
        <v>78805998.609999999</v>
      </c>
      <c r="E22" s="20">
        <f>'Проверочная  таблица'!RS23</f>
        <v>244812941</v>
      </c>
      <c r="F22" s="26">
        <f>'Проверочная  таблица'!SW23</f>
        <v>0</v>
      </c>
      <c r="G22" s="26"/>
      <c r="H22" s="22">
        <f t="shared" si="5"/>
        <v>368933122.04000002</v>
      </c>
      <c r="I22" s="23">
        <f t="shared" si="6"/>
        <v>59123492</v>
      </c>
      <c r="J22" s="22">
        <f t="shared" si="7"/>
        <v>65820689.039999999</v>
      </c>
      <c r="K22" s="23">
        <f t="shared" si="8"/>
        <v>243988941</v>
      </c>
      <c r="L22" s="23">
        <f t="shared" si="9"/>
        <v>0</v>
      </c>
      <c r="M22" s="22"/>
      <c r="N22" s="24">
        <f t="shared" si="10"/>
        <v>37470309.57</v>
      </c>
      <c r="O22" s="23">
        <f>'Проверочная  таблица'!P23+'Проверочная  таблица'!AA23+'Проверочная  таблица'!H23</f>
        <v>23661000</v>
      </c>
      <c r="P22" s="22">
        <f>'Проверочная  таблица'!NC23+'Проверочная  таблица'!OA23+'Проверочная  таблица'!CQ23+'Проверочная  таблица'!DG23+'Проверочная  таблица'!DO23+'Проверочная  таблица'!HW23+'Проверочная  таблица'!LU23+'Проверочная  таблица'!GG23+'Проверочная  таблица'!RM23+'Проверочная  таблица'!KU23+'Проверочная  таблица'!PG23+'Проверочная  таблица'!EK23+'Проверочная  таблица'!AW23</f>
        <v>12985309.57</v>
      </c>
      <c r="Q22" s="24">
        <f>'Проверочная  таблица'!SE23</f>
        <v>824000</v>
      </c>
      <c r="R22" s="20">
        <f>'Проверочная  таблица'!VC23+'Проверочная  таблица'!TU23+'Проверочная  таблица'!UI23</f>
        <v>0</v>
      </c>
      <c r="S22" s="25"/>
      <c r="T22" s="298">
        <f t="shared" si="11"/>
        <v>37470309.57</v>
      </c>
      <c r="U22" s="298">
        <f t="shared" si="12"/>
        <v>23661000</v>
      </c>
      <c r="V22" s="299">
        <f t="shared" si="13"/>
        <v>12985309.57</v>
      </c>
      <c r="W22" s="300">
        <f t="shared" si="14"/>
        <v>824000</v>
      </c>
      <c r="X22" s="299">
        <f t="shared" si="15"/>
        <v>0</v>
      </c>
      <c r="Y22" s="301"/>
      <c r="Z22" s="300">
        <f t="shared" si="16"/>
        <v>0</v>
      </c>
      <c r="AA22" s="298">
        <f>'Проверочная  таблица'!AG23+'Проверочная  таблица'!T23+'Проверочная  таблица'!L23</f>
        <v>0</v>
      </c>
      <c r="AB22" s="299">
        <f>'Проверочная  таблица'!NO23+'Проверочная  таблица'!OM23+'Проверочная  таблица'!DK23+'Проверочная  таблица'!DS23+'Проверочная  таблица'!DC23+'Проверочная  таблица'!RQ23+'Проверочная  таблица'!JG23+'Проверочная  таблица'!GS23+'Проверочная  таблица'!MO23+'Проверочная  таблица'!LE23+'Проверочная  таблица'!QQ23+'Проверочная  таблица'!EQ23+'Проверочная  таблица'!BU23</f>
        <v>0</v>
      </c>
      <c r="AC22" s="300"/>
      <c r="AD22" s="302">
        <f>'Проверочная  таблица'!VK23+'Проверочная  таблица'!UQ23</f>
        <v>0</v>
      </c>
      <c r="AE22" s="301"/>
      <c r="AF22" s="26">
        <f>'Проверочная  таблица'!C23</f>
        <v>327028293.18000001</v>
      </c>
      <c r="AG22" s="21">
        <f>'Проверочная  таблица'!E23</f>
        <v>70749861</v>
      </c>
      <c r="AH22" s="207">
        <f>'Проверочная  таблица'!AJ23</f>
        <v>65659974.419999994</v>
      </c>
      <c r="AI22" s="20">
        <f>'Проверочная  таблица'!RV23</f>
        <v>190618457.75999999</v>
      </c>
      <c r="AJ22" s="25">
        <f>'Проверочная  таблица'!SX23</f>
        <v>0</v>
      </c>
      <c r="AK22" s="26"/>
      <c r="AL22" s="22">
        <f t="shared" si="17"/>
        <v>300319786.14999998</v>
      </c>
      <c r="AM22" s="23">
        <f t="shared" si="18"/>
        <v>52768448</v>
      </c>
      <c r="AN22" s="22">
        <f t="shared" si="19"/>
        <v>57351185.849999994</v>
      </c>
      <c r="AO22" s="23">
        <f t="shared" si="20"/>
        <v>190200152.29999998</v>
      </c>
      <c r="AP22" s="23">
        <f t="shared" si="21"/>
        <v>0</v>
      </c>
      <c r="AQ22" s="22"/>
      <c r="AR22" s="24">
        <f t="shared" si="22"/>
        <v>26708507.030000001</v>
      </c>
      <c r="AS22" s="24">
        <f>'Проверочная  таблица'!Q23+'Проверочная  таблица'!AB23+'Проверочная  таблица'!I23</f>
        <v>17981413</v>
      </c>
      <c r="AT22" s="23">
        <f>'Проверочная  таблица'!OD23+'Проверочная  таблица'!RN23+'Проверочная  таблица'!NF23+'Проверочная  таблица'!DP23+'Проверочная  таблица'!DH23+'Проверочная  таблица'!CV23+'Проверочная  таблица'!IF23+'Проверочная  таблица'!GJ23+'Проверочная  таблица'!LZ23+'Проверочная  таблица'!KY23+'Проверочная  таблица'!PP23+'Проверочная  таблица'!EM23+'Проверочная  таблица'!BC23</f>
        <v>8308788.5700000003</v>
      </c>
      <c r="AU22" s="22">
        <f>'Проверочная  таблица'!SF23</f>
        <v>418305.46</v>
      </c>
      <c r="AV22" s="23">
        <f>'Проверочная  таблица'!VE23+'Проверочная  таблица'!TW23+'Проверочная  таблица'!UL23</f>
        <v>0</v>
      </c>
      <c r="AW22" s="26"/>
      <c r="AX22" s="298">
        <f t="shared" si="23"/>
        <v>26708507.030000001</v>
      </c>
      <c r="AY22" s="298">
        <f t="shared" si="24"/>
        <v>17981413</v>
      </c>
      <c r="AZ22" s="299">
        <f t="shared" si="2"/>
        <v>8308788.5700000003</v>
      </c>
      <c r="BA22" s="300">
        <f t="shared" si="3"/>
        <v>418305.46</v>
      </c>
      <c r="BB22" s="299">
        <f t="shared" si="4"/>
        <v>0</v>
      </c>
      <c r="BC22" s="301"/>
      <c r="BD22" s="300">
        <f t="shared" si="25"/>
        <v>0</v>
      </c>
      <c r="BE22" s="299">
        <f>'Проверочная  таблица'!M23+'Проверочная  таблица'!U23+'Проверочная  таблица'!AH23</f>
        <v>0</v>
      </c>
      <c r="BF22" s="300">
        <f>'Проверочная  таблица'!NR23+'Проверочная  таблица'!OP23+'Проверочная  таблица'!DL23+'Проверочная  таблица'!DT23+'Проверочная  таблица'!DD23+'Проверочная  таблица'!RR23+'Проверочная  таблица'!JP23+'Проверочная  таблица'!GV23+'Проверочная  таблица'!MT23+'Проверочная  таблица'!LF23+'Проверочная  таблица'!QZ23+'Проверочная  таблица'!ER23+'Проверочная  таблица'!CA23</f>
        <v>0</v>
      </c>
      <c r="BG22" s="298"/>
      <c r="BH22" s="302">
        <f>'Проверочная  таблица'!VM23+'Проверочная  таблица'!UR23</f>
        <v>0</v>
      </c>
      <c r="BI22" s="301"/>
      <c r="BK22" s="1254">
        <f t="shared" si="26"/>
        <v>13809.309569999999</v>
      </c>
      <c r="BL22" s="1254">
        <f t="shared" si="27"/>
        <v>0</v>
      </c>
    </row>
    <row r="23" spans="1:64" ht="21.75" customHeight="1" x14ac:dyDescent="0.3">
      <c r="A23" s="27" t="s">
        <v>100</v>
      </c>
      <c r="B23" s="20">
        <f>'Проверочная  таблица'!B24</f>
        <v>999195476.80999994</v>
      </c>
      <c r="C23" s="21">
        <f>'Проверочная  таблица'!D24</f>
        <v>38364911</v>
      </c>
      <c r="D23" s="207">
        <f>'Проверочная  таблица'!AI24</f>
        <v>415125097.81</v>
      </c>
      <c r="E23" s="20">
        <f>'Проверочная  таблица'!RS24</f>
        <v>545705468</v>
      </c>
      <c r="F23" s="26">
        <f>'Проверочная  таблица'!SW24</f>
        <v>0</v>
      </c>
      <c r="G23" s="26"/>
      <c r="H23" s="22">
        <f t="shared" si="5"/>
        <v>773247697.42999995</v>
      </c>
      <c r="I23" s="23">
        <f t="shared" si="6"/>
        <v>8763111</v>
      </c>
      <c r="J23" s="22">
        <f t="shared" si="7"/>
        <v>221686418.43000001</v>
      </c>
      <c r="K23" s="23">
        <f t="shared" si="8"/>
        <v>542798168</v>
      </c>
      <c r="L23" s="23">
        <f t="shared" si="9"/>
        <v>0</v>
      </c>
      <c r="M23" s="22"/>
      <c r="N23" s="24">
        <f t="shared" si="10"/>
        <v>225947779.38</v>
      </c>
      <c r="O23" s="23">
        <f>'Проверочная  таблица'!P24+'Проверочная  таблица'!AA24+'Проверочная  таблица'!H24</f>
        <v>29601800</v>
      </c>
      <c r="P23" s="22">
        <f>'Проверочная  таблица'!NC24+'Проверочная  таблица'!OA24+'Проверочная  таблица'!CQ24+'Проверочная  таблица'!DG24+'Проверочная  таблица'!DO24+'Проверочная  таблица'!HW24+'Проверочная  таблица'!LU24+'Проверочная  таблица'!GG24+'Проверочная  таблица'!RM24+'Проверочная  таблица'!KU24+'Проверочная  таблица'!PG24+'Проверочная  таблица'!EK24+'Проверочная  таблица'!AW24</f>
        <v>193438679.38</v>
      </c>
      <c r="Q23" s="24">
        <f>'Проверочная  таблица'!SE24</f>
        <v>2907300</v>
      </c>
      <c r="R23" s="20">
        <f>'Проверочная  таблица'!VC24+'Проверочная  таблица'!TU24+'Проверочная  таблица'!UI24</f>
        <v>0</v>
      </c>
      <c r="S23" s="25"/>
      <c r="T23" s="298">
        <f t="shared" si="11"/>
        <v>225947779.38</v>
      </c>
      <c r="U23" s="298">
        <f t="shared" si="12"/>
        <v>29601800</v>
      </c>
      <c r="V23" s="299">
        <f t="shared" si="13"/>
        <v>193438679.38</v>
      </c>
      <c r="W23" s="300">
        <f t="shared" si="14"/>
        <v>2907300</v>
      </c>
      <c r="X23" s="299">
        <f t="shared" si="15"/>
        <v>0</v>
      </c>
      <c r="Y23" s="301"/>
      <c r="Z23" s="300">
        <f t="shared" si="16"/>
        <v>0</v>
      </c>
      <c r="AA23" s="298">
        <f>'Проверочная  таблица'!AG24+'Проверочная  таблица'!T24+'Проверочная  таблица'!L24</f>
        <v>0</v>
      </c>
      <c r="AB23" s="299">
        <f>'Проверочная  таблица'!NO24+'Проверочная  таблица'!OM24+'Проверочная  таблица'!DK24+'Проверочная  таблица'!DS24+'Проверочная  таблица'!DC24+'Проверочная  таблица'!RQ24+'Проверочная  таблица'!JG24+'Проверочная  таблица'!GS24+'Проверочная  таблица'!MO24+'Проверочная  таблица'!LE24+'Проверочная  таблица'!QQ24+'Проверочная  таблица'!EQ24+'Проверочная  таблица'!BU24</f>
        <v>0</v>
      </c>
      <c r="AC23" s="300"/>
      <c r="AD23" s="302">
        <f>'Проверочная  таблица'!VK24+'Проверочная  таблица'!UQ24</f>
        <v>0</v>
      </c>
      <c r="AE23" s="301"/>
      <c r="AF23" s="26">
        <f>'Проверочная  таблица'!C24</f>
        <v>670424815.08000004</v>
      </c>
      <c r="AG23" s="21">
        <f>'Проверочная  таблица'!E24</f>
        <v>29596447.75</v>
      </c>
      <c r="AH23" s="207">
        <f>'Проверочная  таблица'!AJ24</f>
        <v>218451547.72</v>
      </c>
      <c r="AI23" s="20">
        <f>'Проверочная  таблица'!RV24</f>
        <v>422376819.61000001</v>
      </c>
      <c r="AJ23" s="25">
        <f>'Проверочная  таблица'!SX24</f>
        <v>0</v>
      </c>
      <c r="AK23" s="26"/>
      <c r="AL23" s="22">
        <f t="shared" si="17"/>
        <v>557864640.81000006</v>
      </c>
      <c r="AM23" s="23">
        <f t="shared" si="18"/>
        <v>6885647.75</v>
      </c>
      <c r="AN23" s="22">
        <f t="shared" si="19"/>
        <v>130374545.41</v>
      </c>
      <c r="AO23" s="23">
        <f t="shared" si="20"/>
        <v>420604447.65000004</v>
      </c>
      <c r="AP23" s="23">
        <f t="shared" si="21"/>
        <v>0</v>
      </c>
      <c r="AQ23" s="22"/>
      <c r="AR23" s="24">
        <f t="shared" si="22"/>
        <v>112560174.27</v>
      </c>
      <c r="AS23" s="24">
        <f>'Проверочная  таблица'!Q24+'Проверочная  таблица'!AB24+'Проверочная  таблица'!I24</f>
        <v>22710800</v>
      </c>
      <c r="AT23" s="23">
        <f>'Проверочная  таблица'!OD24+'Проверочная  таблица'!RN24+'Проверочная  таблица'!NF24+'Проверочная  таблица'!DP24+'Проверочная  таблица'!DH24+'Проверочная  таблица'!CV24+'Проверочная  таблица'!IF24+'Проверочная  таблица'!GJ24+'Проверочная  таблица'!LZ24+'Проверочная  таблица'!KY24+'Проверочная  таблица'!PP24+'Проверочная  таблица'!EM24+'Проверочная  таблица'!BC24</f>
        <v>88077002.310000002</v>
      </c>
      <c r="AU23" s="22">
        <f>'Проверочная  таблица'!SF24</f>
        <v>1772371.96</v>
      </c>
      <c r="AV23" s="23">
        <f>'Проверочная  таблица'!VE24+'Проверочная  таблица'!TW24+'Проверочная  таблица'!UL24</f>
        <v>0</v>
      </c>
      <c r="AW23" s="26"/>
      <c r="AX23" s="298">
        <f t="shared" si="23"/>
        <v>112560174.27</v>
      </c>
      <c r="AY23" s="298">
        <f t="shared" si="24"/>
        <v>22710800</v>
      </c>
      <c r="AZ23" s="299">
        <f t="shared" si="2"/>
        <v>88077002.310000002</v>
      </c>
      <c r="BA23" s="300">
        <f t="shared" si="3"/>
        <v>1772371.96</v>
      </c>
      <c r="BB23" s="299">
        <f t="shared" si="4"/>
        <v>0</v>
      </c>
      <c r="BC23" s="301"/>
      <c r="BD23" s="300">
        <f t="shared" si="25"/>
        <v>0</v>
      </c>
      <c r="BE23" s="299">
        <f>'Проверочная  таблица'!M24+'Проверочная  таблица'!U24+'Проверочная  таблица'!AH24</f>
        <v>0</v>
      </c>
      <c r="BF23" s="300">
        <f>'Проверочная  таблица'!NR24+'Проверочная  таблица'!OP24+'Проверочная  таблица'!DL24+'Проверочная  таблица'!DT24+'Проверочная  таблица'!DD24+'Проверочная  таблица'!RR24+'Проверочная  таблица'!JP24+'Проверочная  таблица'!GV24+'Проверочная  таблица'!MT24+'Проверочная  таблица'!LF24+'Проверочная  таблица'!QZ24+'Проверочная  таблица'!ER24+'Проверочная  таблица'!CA24</f>
        <v>0</v>
      </c>
      <c r="BG23" s="298"/>
      <c r="BH23" s="302">
        <f>'Проверочная  таблица'!VM24+'Проверочная  таблица'!UR24</f>
        <v>0</v>
      </c>
      <c r="BI23" s="301"/>
      <c r="BK23" s="1254">
        <f t="shared" si="26"/>
        <v>196345.97938</v>
      </c>
      <c r="BL23" s="1254">
        <f t="shared" si="27"/>
        <v>0</v>
      </c>
    </row>
    <row r="24" spans="1:64" ht="21.75" customHeight="1" x14ac:dyDescent="0.3">
      <c r="A24" s="19" t="s">
        <v>101</v>
      </c>
      <c r="B24" s="20">
        <f>'Проверочная  таблица'!B25</f>
        <v>480064137.62</v>
      </c>
      <c r="C24" s="21">
        <f>'Проверочная  таблица'!D25</f>
        <v>103115669</v>
      </c>
      <c r="D24" s="207">
        <f>'Проверочная  таблица'!AI25</f>
        <v>164676209.62</v>
      </c>
      <c r="E24" s="20">
        <f>'Проверочная  таблица'!RS25</f>
        <v>212272259</v>
      </c>
      <c r="F24" s="26">
        <f>'Проверочная  таблица'!SW25</f>
        <v>0</v>
      </c>
      <c r="G24" s="26"/>
      <c r="H24" s="22">
        <f t="shared" si="5"/>
        <v>403744398.27999997</v>
      </c>
      <c r="I24" s="23">
        <f t="shared" si="6"/>
        <v>62376769</v>
      </c>
      <c r="J24" s="22">
        <f t="shared" si="7"/>
        <v>130416670.28</v>
      </c>
      <c r="K24" s="23">
        <f t="shared" si="8"/>
        <v>210950959</v>
      </c>
      <c r="L24" s="23">
        <f t="shared" si="9"/>
        <v>0</v>
      </c>
      <c r="M24" s="22"/>
      <c r="N24" s="24">
        <f t="shared" si="10"/>
        <v>76319739.340000004</v>
      </c>
      <c r="O24" s="23">
        <f>'Проверочная  таблица'!P25+'Проверочная  таблица'!AA25+'Проверочная  таблица'!H25</f>
        <v>40738900</v>
      </c>
      <c r="P24" s="22">
        <f>'Проверочная  таблица'!NC25+'Проверочная  таблица'!OA25+'Проверочная  таблица'!CQ25+'Проверочная  таблица'!DG25+'Проверочная  таблица'!DO25+'Проверочная  таблица'!HW25+'Проверочная  таблица'!LU25+'Проверочная  таблица'!GG25+'Проверочная  таблица'!RM25+'Проверочная  таблица'!KU25+'Проверочная  таблица'!PG25+'Проверочная  таблица'!EK25+'Проверочная  таблица'!AW25</f>
        <v>34259539.340000004</v>
      </c>
      <c r="Q24" s="24">
        <f>'Проверочная  таблица'!SE25</f>
        <v>1321300</v>
      </c>
      <c r="R24" s="20">
        <f>'Проверочная  таблица'!VC25+'Проверочная  таблица'!TU25+'Проверочная  таблица'!UI25</f>
        <v>0</v>
      </c>
      <c r="S24" s="25"/>
      <c r="T24" s="298">
        <f t="shared" si="11"/>
        <v>76319739.340000004</v>
      </c>
      <c r="U24" s="298">
        <f t="shared" si="12"/>
        <v>40738900</v>
      </c>
      <c r="V24" s="299">
        <f t="shared" si="13"/>
        <v>34259539.340000004</v>
      </c>
      <c r="W24" s="300">
        <f t="shared" si="14"/>
        <v>1321300</v>
      </c>
      <c r="X24" s="299">
        <f t="shared" si="15"/>
        <v>0</v>
      </c>
      <c r="Y24" s="301"/>
      <c r="Z24" s="300">
        <f t="shared" si="16"/>
        <v>0</v>
      </c>
      <c r="AA24" s="298">
        <f>'Проверочная  таблица'!AG25+'Проверочная  таблица'!T25+'Проверочная  таблица'!L25</f>
        <v>0</v>
      </c>
      <c r="AB24" s="299">
        <f>'Проверочная  таблица'!NO25+'Проверочная  таблица'!OM25+'Проверочная  таблица'!DK25+'Проверочная  таблица'!DS25+'Проверочная  таблица'!DC25+'Проверочная  таблица'!RQ25+'Проверочная  таблица'!JG25+'Проверочная  таблица'!GS25+'Проверочная  таблица'!MO25+'Проверочная  таблица'!LE25+'Проверочная  таблица'!QQ25+'Проверочная  таблица'!EQ25+'Проверочная  таблица'!BU25</f>
        <v>0</v>
      </c>
      <c r="AC24" s="300"/>
      <c r="AD24" s="302">
        <f>'Проверочная  таблица'!VK25+'Проверочная  таблица'!UQ25</f>
        <v>0</v>
      </c>
      <c r="AE24" s="301"/>
      <c r="AF24" s="26">
        <f>'Проверочная  таблица'!C25</f>
        <v>387887436.34999996</v>
      </c>
      <c r="AG24" s="21">
        <f>'Проверочная  таблица'!E25</f>
        <v>83631400</v>
      </c>
      <c r="AH24" s="207">
        <f>'Проверочная  таблица'!AJ25</f>
        <v>140463348.39999998</v>
      </c>
      <c r="AI24" s="20">
        <f>'Проверочная  таблица'!RV25</f>
        <v>163792687.94999999</v>
      </c>
      <c r="AJ24" s="25">
        <f>'Проверочная  таблица'!SX25</f>
        <v>0</v>
      </c>
      <c r="AK24" s="26"/>
      <c r="AL24" s="22">
        <f t="shared" si="17"/>
        <v>331645318.07999998</v>
      </c>
      <c r="AM24" s="23">
        <f t="shared" si="18"/>
        <v>51350900</v>
      </c>
      <c r="AN24" s="22">
        <f t="shared" si="19"/>
        <v>117469345.05999997</v>
      </c>
      <c r="AO24" s="23">
        <f t="shared" si="20"/>
        <v>162825073.01999998</v>
      </c>
      <c r="AP24" s="23">
        <f t="shared" si="21"/>
        <v>0</v>
      </c>
      <c r="AQ24" s="22"/>
      <c r="AR24" s="24">
        <f t="shared" si="22"/>
        <v>56242118.270000003</v>
      </c>
      <c r="AS24" s="24">
        <f>'Проверочная  таблица'!Q25+'Проверочная  таблица'!AB25+'Проверочная  таблица'!I25</f>
        <v>32280500</v>
      </c>
      <c r="AT24" s="23">
        <f>'Проверочная  таблица'!OD25+'Проверочная  таблица'!RN25+'Проверочная  таблица'!NF25+'Проверочная  таблица'!DP25+'Проверочная  таблица'!DH25+'Проверочная  таблица'!CV25+'Проверочная  таблица'!IF25+'Проверочная  таблица'!GJ25+'Проверочная  таблица'!LZ25+'Проверочная  таблица'!KY25+'Проверочная  таблица'!PP25+'Проверочная  таблица'!EM25+'Проверочная  таблица'!BC25</f>
        <v>22994003.34</v>
      </c>
      <c r="AU24" s="22">
        <f>'Проверочная  таблица'!SF25</f>
        <v>967614.93</v>
      </c>
      <c r="AV24" s="23">
        <f>'Проверочная  таблица'!VE25+'Проверочная  таблица'!TW25+'Проверочная  таблица'!UL25</f>
        <v>0</v>
      </c>
      <c r="AW24" s="26"/>
      <c r="AX24" s="298">
        <f t="shared" si="23"/>
        <v>56242118.270000003</v>
      </c>
      <c r="AY24" s="298">
        <f t="shared" si="24"/>
        <v>32280500</v>
      </c>
      <c r="AZ24" s="299">
        <f t="shared" si="2"/>
        <v>22994003.34</v>
      </c>
      <c r="BA24" s="300">
        <f t="shared" si="3"/>
        <v>967614.93</v>
      </c>
      <c r="BB24" s="299">
        <f t="shared" si="4"/>
        <v>0</v>
      </c>
      <c r="BC24" s="301"/>
      <c r="BD24" s="300">
        <f t="shared" si="25"/>
        <v>0</v>
      </c>
      <c r="BE24" s="299">
        <f>'Проверочная  таблица'!M25+'Проверочная  таблица'!U25+'Проверочная  таблица'!AH25</f>
        <v>0</v>
      </c>
      <c r="BF24" s="300">
        <f>'Проверочная  таблица'!NR25+'Проверочная  таблица'!OP25+'Проверочная  таблица'!DL25+'Проверочная  таблица'!DT25+'Проверочная  таблица'!DD25+'Проверочная  таблица'!RR25+'Проверочная  таблица'!JP25+'Проверочная  таблица'!GV25+'Проверочная  таблица'!MT25+'Проверочная  таблица'!LF25+'Проверочная  таблица'!QZ25+'Проверочная  таблица'!ER25+'Проверочная  таблица'!CA25</f>
        <v>0</v>
      </c>
      <c r="BG24" s="298"/>
      <c r="BH24" s="302">
        <f>'Проверочная  таблица'!VM25+'Проверочная  таблица'!UR25</f>
        <v>0</v>
      </c>
      <c r="BI24" s="301"/>
      <c r="BK24" s="1254">
        <f t="shared" si="26"/>
        <v>35580.839340000006</v>
      </c>
      <c r="BL24" s="1254">
        <f t="shared" si="27"/>
        <v>0</v>
      </c>
    </row>
    <row r="25" spans="1:64" ht="21.75" customHeight="1" x14ac:dyDescent="0.3">
      <c r="A25" s="27" t="s">
        <v>102</v>
      </c>
      <c r="B25" s="20">
        <f>'Проверочная  таблица'!B26</f>
        <v>480150606.78999996</v>
      </c>
      <c r="C25" s="21">
        <f>'Проверочная  таблица'!D26</f>
        <v>66582929</v>
      </c>
      <c r="D25" s="207">
        <f>'Проверочная  таблица'!AI26</f>
        <v>134534918.78999999</v>
      </c>
      <c r="E25" s="20">
        <f>'Проверочная  таблица'!RS26</f>
        <v>279032759</v>
      </c>
      <c r="F25" s="26">
        <f>'Проверочная  таблица'!SW26</f>
        <v>0</v>
      </c>
      <c r="G25" s="26"/>
      <c r="H25" s="22">
        <f t="shared" si="5"/>
        <v>377412305.51999998</v>
      </c>
      <c r="I25" s="23">
        <f t="shared" si="6"/>
        <v>28730129</v>
      </c>
      <c r="J25" s="22">
        <f t="shared" si="7"/>
        <v>70873017.519999996</v>
      </c>
      <c r="K25" s="23">
        <f t="shared" si="8"/>
        <v>277809159</v>
      </c>
      <c r="L25" s="23">
        <f t="shared" si="9"/>
        <v>0</v>
      </c>
      <c r="M25" s="22"/>
      <c r="N25" s="24">
        <f t="shared" si="10"/>
        <v>102738301.27</v>
      </c>
      <c r="O25" s="23">
        <f>'Проверочная  таблица'!P26+'Проверочная  таблица'!AA26+'Проверочная  таблица'!H26</f>
        <v>37852800</v>
      </c>
      <c r="P25" s="22">
        <f>'Проверочная  таблица'!NC26+'Проверочная  таблица'!OA26+'Проверочная  таблица'!CQ26+'Проверочная  таблица'!DG26+'Проверочная  таблица'!DO26+'Проверочная  таблица'!HW26+'Проверочная  таблица'!LU26+'Проверочная  таблица'!GG26+'Проверочная  таблица'!RM26+'Проверочная  таблица'!KU26+'Проверочная  таблица'!PG26+'Проверочная  таблица'!EK26+'Проверочная  таблица'!AW26</f>
        <v>63661901.269999996</v>
      </c>
      <c r="Q25" s="24">
        <f>'Проверочная  таблица'!SE26</f>
        <v>1223600</v>
      </c>
      <c r="R25" s="20">
        <f>'Проверочная  таблица'!VC26+'Проверочная  таблица'!TU26+'Проверочная  таблица'!UI26</f>
        <v>0</v>
      </c>
      <c r="S25" s="25"/>
      <c r="T25" s="298">
        <f t="shared" si="11"/>
        <v>102738301.27</v>
      </c>
      <c r="U25" s="298">
        <f t="shared" si="12"/>
        <v>37852800</v>
      </c>
      <c r="V25" s="299">
        <f t="shared" si="13"/>
        <v>63661901.269999996</v>
      </c>
      <c r="W25" s="300">
        <f t="shared" si="14"/>
        <v>1223600</v>
      </c>
      <c r="X25" s="299">
        <f t="shared" si="15"/>
        <v>0</v>
      </c>
      <c r="Y25" s="301"/>
      <c r="Z25" s="300">
        <f t="shared" si="16"/>
        <v>0</v>
      </c>
      <c r="AA25" s="298">
        <f>'Проверочная  таблица'!AG26+'Проверочная  таблица'!T26+'Проверочная  таблица'!L26</f>
        <v>0</v>
      </c>
      <c r="AB25" s="299">
        <f>'Проверочная  таблица'!NO26+'Проверочная  таблица'!OM26+'Проверочная  таблица'!DK26+'Проверочная  таблица'!DS26+'Проверочная  таблица'!DC26+'Проверочная  таблица'!RQ26+'Проверочная  таблица'!JG26+'Проверочная  таблица'!GS26+'Проверочная  таблица'!MO26+'Проверочная  таблица'!LE26+'Проверочная  таблица'!QQ26+'Проверочная  таблица'!EQ26+'Проверочная  таблица'!BU26</f>
        <v>0</v>
      </c>
      <c r="AC25" s="300"/>
      <c r="AD25" s="302">
        <f>'Проверочная  таблица'!VK26+'Проверочная  таблица'!UQ26</f>
        <v>0</v>
      </c>
      <c r="AE25" s="301"/>
      <c r="AF25" s="26">
        <f>'Проверочная  таблица'!C26</f>
        <v>392781577.80999994</v>
      </c>
      <c r="AG25" s="21">
        <f>'Проверочная  таблица'!E26</f>
        <v>58583132</v>
      </c>
      <c r="AH25" s="207">
        <f>'Проверочная  таблица'!AJ26</f>
        <v>96032066.23999998</v>
      </c>
      <c r="AI25" s="20">
        <f>'Проверочная  таблица'!RV26</f>
        <v>238166379.56999999</v>
      </c>
      <c r="AJ25" s="25">
        <f>'Проверочная  таблица'!SX26</f>
        <v>0</v>
      </c>
      <c r="AK25" s="26"/>
      <c r="AL25" s="22">
        <f t="shared" si="17"/>
        <v>310926538.36999995</v>
      </c>
      <c r="AM25" s="23">
        <f t="shared" si="18"/>
        <v>26092550</v>
      </c>
      <c r="AN25" s="22">
        <f t="shared" si="19"/>
        <v>47502594.969999984</v>
      </c>
      <c r="AO25" s="23">
        <f t="shared" si="20"/>
        <v>237331393.40000001</v>
      </c>
      <c r="AP25" s="23">
        <f t="shared" si="21"/>
        <v>0</v>
      </c>
      <c r="AQ25" s="22"/>
      <c r="AR25" s="24">
        <f t="shared" si="22"/>
        <v>81855039.439999998</v>
      </c>
      <c r="AS25" s="24">
        <f>'Проверочная  таблица'!Q26+'Проверочная  таблица'!AB26+'Проверочная  таблица'!I26</f>
        <v>32490582</v>
      </c>
      <c r="AT25" s="23">
        <f>'Проверочная  таблица'!OD26+'Проверочная  таблица'!RN26+'Проверочная  таблица'!NF26+'Проверочная  таблица'!DP26+'Проверочная  таблица'!DH26+'Проверочная  таблица'!CV26+'Проверочная  таблица'!IF26+'Проверочная  таблица'!GJ26+'Проверочная  таблица'!LZ26+'Проверочная  таблица'!KY26+'Проверочная  таблица'!PP26+'Проверочная  таблица'!EM26+'Проверочная  таблица'!BC26</f>
        <v>48529471.269999996</v>
      </c>
      <c r="AU25" s="22">
        <f>'Проверочная  таблица'!SF26</f>
        <v>834986.17</v>
      </c>
      <c r="AV25" s="23">
        <f>'Проверочная  таблица'!VE26+'Проверочная  таблица'!TW26+'Проверочная  таблица'!UL26</f>
        <v>0</v>
      </c>
      <c r="AW25" s="26"/>
      <c r="AX25" s="298">
        <f t="shared" si="23"/>
        <v>81855039.439999998</v>
      </c>
      <c r="AY25" s="298">
        <f t="shared" si="24"/>
        <v>32490582</v>
      </c>
      <c r="AZ25" s="299">
        <f t="shared" si="2"/>
        <v>48529471.269999996</v>
      </c>
      <c r="BA25" s="300">
        <f t="shared" si="3"/>
        <v>834986.17</v>
      </c>
      <c r="BB25" s="299">
        <f t="shared" si="4"/>
        <v>0</v>
      </c>
      <c r="BC25" s="301"/>
      <c r="BD25" s="300">
        <f t="shared" si="25"/>
        <v>0</v>
      </c>
      <c r="BE25" s="299">
        <f>'Проверочная  таблица'!M26+'Проверочная  таблица'!U26+'Проверочная  таблица'!AH26</f>
        <v>0</v>
      </c>
      <c r="BF25" s="300">
        <f>'Проверочная  таблица'!NR26+'Проверочная  таблица'!OP26+'Проверочная  таблица'!DL26+'Проверочная  таблица'!DT26+'Проверочная  таблица'!DD26+'Проверочная  таблица'!RR26+'Проверочная  таблица'!JP26+'Проверочная  таблица'!GV26+'Проверочная  таблица'!MT26+'Проверочная  таблица'!LF26+'Проверочная  таблица'!QZ26+'Проверочная  таблица'!ER26+'Проверочная  таблица'!CA26</f>
        <v>0</v>
      </c>
      <c r="BG25" s="298"/>
      <c r="BH25" s="302">
        <f>'Проверочная  таблица'!VM26+'Проверочная  таблица'!UR26</f>
        <v>0</v>
      </c>
      <c r="BI25" s="301"/>
      <c r="BK25" s="1254">
        <f t="shared" si="26"/>
        <v>64885.501269999993</v>
      </c>
      <c r="BL25" s="1254">
        <f t="shared" si="27"/>
        <v>0</v>
      </c>
    </row>
    <row r="26" spans="1:64" ht="21.75" customHeight="1" x14ac:dyDescent="0.3">
      <c r="A26" s="19" t="s">
        <v>103</v>
      </c>
      <c r="B26" s="20">
        <f>'Проверочная  таблица'!B27</f>
        <v>1128375015.3400002</v>
      </c>
      <c r="C26" s="21">
        <f>'Проверочная  таблица'!D27</f>
        <v>187314035</v>
      </c>
      <c r="D26" s="207">
        <f>'Проверочная  таблица'!AI27</f>
        <v>513275782.34000003</v>
      </c>
      <c r="E26" s="20">
        <f>'Проверочная  таблица'!RS27</f>
        <v>427785198</v>
      </c>
      <c r="F26" s="26">
        <f>'Проверочная  таблица'!SW27</f>
        <v>0</v>
      </c>
      <c r="G26" s="26"/>
      <c r="H26" s="22">
        <f t="shared" si="5"/>
        <v>870640451.32000017</v>
      </c>
      <c r="I26" s="23">
        <f t="shared" si="6"/>
        <v>75613135</v>
      </c>
      <c r="J26" s="22">
        <f t="shared" si="7"/>
        <v>369585218.32000005</v>
      </c>
      <c r="K26" s="23">
        <f t="shared" si="8"/>
        <v>425442098</v>
      </c>
      <c r="L26" s="23">
        <f t="shared" si="9"/>
        <v>0</v>
      </c>
      <c r="M26" s="22"/>
      <c r="N26" s="24">
        <f t="shared" si="10"/>
        <v>257734564.02000001</v>
      </c>
      <c r="O26" s="23">
        <f>'Проверочная  таблица'!P27+'Проверочная  таблица'!AA27+'Проверочная  таблица'!H27</f>
        <v>111700900</v>
      </c>
      <c r="P26" s="22">
        <f>'Проверочная  таблица'!NC27+'Проверочная  таблица'!OA27+'Проверочная  таблица'!CQ27+'Проверочная  таблица'!DG27+'Проверочная  таблица'!DO27+'Проверочная  таблица'!HW27+'Проверочная  таблица'!LU27+'Проверочная  таблица'!GG27+'Проверочная  таблица'!RM27+'Проверочная  таблица'!KU27+'Проверочная  таблица'!PG27+'Проверочная  таблица'!EK27+'Проверочная  таблица'!AW27</f>
        <v>143690564.02000001</v>
      </c>
      <c r="Q26" s="24">
        <f>'Проверочная  таблица'!SE27</f>
        <v>2343100</v>
      </c>
      <c r="R26" s="20">
        <f>'Проверочная  таблица'!VC27+'Проверочная  таблица'!TU27+'Проверочная  таблица'!UI27</f>
        <v>0</v>
      </c>
      <c r="S26" s="25"/>
      <c r="T26" s="298">
        <f t="shared" si="11"/>
        <v>116800895.01000001</v>
      </c>
      <c r="U26" s="298">
        <f t="shared" si="12"/>
        <v>82614900</v>
      </c>
      <c r="V26" s="299">
        <f t="shared" si="13"/>
        <v>31842895.010000005</v>
      </c>
      <c r="W26" s="300">
        <f t="shared" si="14"/>
        <v>2343100</v>
      </c>
      <c r="X26" s="299">
        <f t="shared" si="15"/>
        <v>0</v>
      </c>
      <c r="Y26" s="301"/>
      <c r="Z26" s="300">
        <f t="shared" si="16"/>
        <v>140933669.00999999</v>
      </c>
      <c r="AA26" s="298">
        <f>'Проверочная  таблица'!AG27+'Проверочная  таблица'!T27+'Проверочная  таблица'!L27</f>
        <v>29086000</v>
      </c>
      <c r="AB26" s="299">
        <f>'Проверочная  таблица'!NO27+'Проверочная  таблица'!OM27+'Проверочная  таблица'!DK27+'Проверочная  таблица'!DS27+'Проверочная  таблица'!DC27+'Проверочная  таблица'!RQ27+'Проверочная  таблица'!JG27+'Проверочная  таблица'!GS27+'Проверочная  таблица'!MO27+'Проверочная  таблица'!LE27+'Проверочная  таблица'!QQ27+'Проверочная  таблица'!EQ27+'Проверочная  таблица'!BU27</f>
        <v>111847669.01000001</v>
      </c>
      <c r="AC26" s="300"/>
      <c r="AD26" s="302">
        <f>'Проверочная  таблица'!VK27+'Проверочная  таблица'!UQ27</f>
        <v>0</v>
      </c>
      <c r="AE26" s="301"/>
      <c r="AF26" s="26">
        <f>'Проверочная  таблица'!C27</f>
        <v>856662851.13</v>
      </c>
      <c r="AG26" s="21">
        <f>'Проверочная  таблица'!E27</f>
        <v>147215750</v>
      </c>
      <c r="AH26" s="207">
        <f>'Проверочная  таблица'!AJ27</f>
        <v>366014367.61000001</v>
      </c>
      <c r="AI26" s="20">
        <f>'Проверочная  таблица'!RV27</f>
        <v>343432733.51999998</v>
      </c>
      <c r="AJ26" s="25">
        <f>'Проверочная  таблица'!SX27</f>
        <v>0</v>
      </c>
      <c r="AK26" s="26"/>
      <c r="AL26" s="22">
        <f t="shared" si="17"/>
        <v>702778622.07999992</v>
      </c>
      <c r="AM26" s="23">
        <f t="shared" si="18"/>
        <v>59813230</v>
      </c>
      <c r="AN26" s="22">
        <f t="shared" si="19"/>
        <v>301289983.56</v>
      </c>
      <c r="AO26" s="23">
        <f t="shared" si="20"/>
        <v>341675408.51999998</v>
      </c>
      <c r="AP26" s="23">
        <f t="shared" si="21"/>
        <v>0</v>
      </c>
      <c r="AQ26" s="22"/>
      <c r="AR26" s="24">
        <f t="shared" si="22"/>
        <v>153884229.05000001</v>
      </c>
      <c r="AS26" s="24">
        <f>'Проверочная  таблица'!Q27+'Проверочная  таблица'!AB27+'Проверочная  таблица'!I27</f>
        <v>87402520</v>
      </c>
      <c r="AT26" s="23">
        <f>'Проверочная  таблица'!OD27+'Проверочная  таблица'!RN27+'Проверочная  таблица'!NF27+'Проверочная  таблица'!DP27+'Проверочная  таблица'!DH27+'Проверочная  таблица'!CV27+'Проверочная  таблица'!IF27+'Проверочная  таблица'!GJ27+'Проверочная  таблица'!LZ27+'Проверочная  таблица'!KY27+'Проверочная  таблица'!PP27+'Проверочная  таблица'!EM27+'Проверочная  таблица'!BC27</f>
        <v>64724384.050000004</v>
      </c>
      <c r="AU26" s="22">
        <f>'Проверочная  таблица'!SF27</f>
        <v>1757325</v>
      </c>
      <c r="AV26" s="23">
        <f>'Проверочная  таблица'!VE27+'Проверочная  таблица'!TW27+'Проверочная  таблица'!UL27</f>
        <v>0</v>
      </c>
      <c r="AW26" s="26"/>
      <c r="AX26" s="298">
        <f t="shared" si="23"/>
        <v>79682920.00999999</v>
      </c>
      <c r="AY26" s="298">
        <f t="shared" si="24"/>
        <v>64713025</v>
      </c>
      <c r="AZ26" s="299">
        <f t="shared" si="2"/>
        <v>13212570.009999998</v>
      </c>
      <c r="BA26" s="300">
        <f t="shared" si="3"/>
        <v>1757325</v>
      </c>
      <c r="BB26" s="299">
        <f t="shared" si="4"/>
        <v>0</v>
      </c>
      <c r="BC26" s="301"/>
      <c r="BD26" s="300">
        <f t="shared" si="25"/>
        <v>74201309.040000007</v>
      </c>
      <c r="BE26" s="299">
        <f>'Проверочная  таблица'!M27+'Проверочная  таблица'!U27+'Проверочная  таблица'!AH27</f>
        <v>22689495</v>
      </c>
      <c r="BF26" s="300">
        <f>'Проверочная  таблица'!NR27+'Проверочная  таблица'!OP27+'Проверочная  таблица'!DL27+'Проверочная  таблица'!DT27+'Проверочная  таблица'!DD27+'Проверочная  таблица'!RR27+'Проверочная  таблица'!JP27+'Проверочная  таблица'!GV27+'Проверочная  таблица'!MT27+'Проверочная  таблица'!LF27+'Проверочная  таблица'!QZ27+'Проверочная  таблица'!ER27+'Проверочная  таблица'!CA27</f>
        <v>51511814.040000007</v>
      </c>
      <c r="BG26" s="298"/>
      <c r="BH26" s="302">
        <f>'Проверочная  таблица'!VM27+'Проверочная  таблица'!UR27</f>
        <v>0</v>
      </c>
      <c r="BI26" s="301"/>
      <c r="BK26" s="1254">
        <f t="shared" si="26"/>
        <v>34185.995010000006</v>
      </c>
      <c r="BL26" s="1254">
        <f t="shared" si="27"/>
        <v>111847.66901000001</v>
      </c>
    </row>
    <row r="27" spans="1:64" ht="21.75" customHeight="1" x14ac:dyDescent="0.3">
      <c r="A27" s="19" t="s">
        <v>104</v>
      </c>
      <c r="B27" s="20">
        <f>'Проверочная  таблица'!B28</f>
        <v>505221875.09000003</v>
      </c>
      <c r="C27" s="21">
        <f>'Проверочная  таблица'!D28</f>
        <v>79135647</v>
      </c>
      <c r="D27" s="207">
        <f>'Проверочная  таблица'!AI28</f>
        <v>213339805.09</v>
      </c>
      <c r="E27" s="20">
        <f>'Проверочная  таблица'!RS28</f>
        <v>212746423</v>
      </c>
      <c r="F27" s="26">
        <f>'Проверочная  таблица'!SW28</f>
        <v>0</v>
      </c>
      <c r="G27" s="26"/>
      <c r="H27" s="22">
        <f t="shared" si="5"/>
        <v>442256908.28000003</v>
      </c>
      <c r="I27" s="23">
        <f t="shared" si="6"/>
        <v>41058847</v>
      </c>
      <c r="J27" s="22">
        <f t="shared" si="7"/>
        <v>189757038.28</v>
      </c>
      <c r="K27" s="23">
        <f t="shared" si="8"/>
        <v>211441023</v>
      </c>
      <c r="L27" s="23">
        <f t="shared" si="9"/>
        <v>0</v>
      </c>
      <c r="M27" s="22"/>
      <c r="N27" s="24">
        <f t="shared" si="10"/>
        <v>62964966.810000002</v>
      </c>
      <c r="O27" s="23">
        <f>'Проверочная  таблица'!P28+'Проверочная  таблица'!AA28+'Проверочная  таблица'!H28</f>
        <v>38076800</v>
      </c>
      <c r="P27" s="22">
        <f>'Проверочная  таблица'!NC28+'Проверочная  таблица'!OA28+'Проверочная  таблица'!CQ28+'Проверочная  таблица'!DG28+'Проверочная  таблица'!DO28+'Проверочная  таблица'!HW28+'Проверочная  таблица'!LU28+'Проверочная  таблица'!GG28+'Проверочная  таблица'!RM28+'Проверочная  таблица'!KU28+'Проверочная  таблица'!PG28+'Проверочная  таблица'!EK28+'Проверочная  таблица'!AW28</f>
        <v>23582766.809999999</v>
      </c>
      <c r="Q27" s="24">
        <f>'Проверочная  таблица'!SE28</f>
        <v>1305400</v>
      </c>
      <c r="R27" s="20">
        <f>'Проверочная  таблица'!VC28+'Проверочная  таблица'!TU28+'Проверочная  таблица'!UI28</f>
        <v>0</v>
      </c>
      <c r="S27" s="25"/>
      <c r="T27" s="298">
        <f t="shared" si="11"/>
        <v>62964966.810000002</v>
      </c>
      <c r="U27" s="298">
        <f t="shared" si="12"/>
        <v>38076800</v>
      </c>
      <c r="V27" s="299">
        <f t="shared" si="13"/>
        <v>23582766.809999999</v>
      </c>
      <c r="W27" s="300">
        <f t="shared" si="14"/>
        <v>1305400</v>
      </c>
      <c r="X27" s="299">
        <f t="shared" si="15"/>
        <v>0</v>
      </c>
      <c r="Y27" s="301"/>
      <c r="Z27" s="300">
        <f t="shared" si="16"/>
        <v>0</v>
      </c>
      <c r="AA27" s="298">
        <f>'Проверочная  таблица'!AG28+'Проверочная  таблица'!T28+'Проверочная  таблица'!L28</f>
        <v>0</v>
      </c>
      <c r="AB27" s="299">
        <f>'Проверочная  таблица'!NO28+'Проверочная  таблица'!OM28+'Проверочная  таблица'!DK28+'Проверочная  таблица'!DS28+'Проверочная  таблица'!DC28+'Проверочная  таблица'!RQ28+'Проверочная  таблица'!JG28+'Проверочная  таблица'!GS28+'Проверочная  таблица'!MO28+'Проверочная  таблица'!LE28+'Проверочная  таблица'!QQ28+'Проверочная  таблица'!EQ28+'Проверочная  таблица'!BU28</f>
        <v>0</v>
      </c>
      <c r="AC27" s="300"/>
      <c r="AD27" s="302">
        <f>'Проверочная  таблица'!VK28+'Проверочная  таблица'!UQ28</f>
        <v>0</v>
      </c>
      <c r="AE27" s="301"/>
      <c r="AF27" s="26">
        <f>'Проверочная  таблица'!C28</f>
        <v>407344678.66999996</v>
      </c>
      <c r="AG27" s="21">
        <f>'Проверочная  таблица'!E28</f>
        <v>64888250</v>
      </c>
      <c r="AH27" s="207">
        <f>'Проверочная  таблица'!AJ28</f>
        <v>162535567.95999998</v>
      </c>
      <c r="AI27" s="20">
        <f>'Проверочная  таблица'!RV28</f>
        <v>179920860.71000001</v>
      </c>
      <c r="AJ27" s="25">
        <f>'Проверочная  таблица'!SX28</f>
        <v>0</v>
      </c>
      <c r="AK27" s="26"/>
      <c r="AL27" s="22">
        <f t="shared" si="17"/>
        <v>363644085.43999994</v>
      </c>
      <c r="AM27" s="23">
        <f t="shared" si="18"/>
        <v>34261800</v>
      </c>
      <c r="AN27" s="22">
        <f t="shared" si="19"/>
        <v>150174475.14999998</v>
      </c>
      <c r="AO27" s="23">
        <f t="shared" si="20"/>
        <v>179207810.29000002</v>
      </c>
      <c r="AP27" s="23">
        <f t="shared" si="21"/>
        <v>0</v>
      </c>
      <c r="AQ27" s="22"/>
      <c r="AR27" s="24">
        <f t="shared" si="22"/>
        <v>43700593.230000004</v>
      </c>
      <c r="AS27" s="24">
        <f>'Проверочная  таблица'!Q28+'Проверочная  таблица'!AB28+'Проверочная  таблица'!I28</f>
        <v>30626450</v>
      </c>
      <c r="AT27" s="23">
        <f>'Проверочная  таблица'!OD28+'Проверочная  таблица'!RN28+'Проверочная  таблица'!NF28+'Проверочная  таблица'!DP28+'Проверочная  таблица'!DH28+'Проверочная  таблица'!CV28+'Проверочная  таблица'!IF28+'Проверочная  таблица'!GJ28+'Проверочная  таблица'!LZ28+'Проверочная  таблица'!KY28+'Проверочная  таблица'!PP28+'Проверочная  таблица'!EM28+'Проверочная  таблица'!BC28</f>
        <v>12361092.810000001</v>
      </c>
      <c r="AU27" s="22">
        <f>'Проверочная  таблица'!SF28</f>
        <v>713050.42</v>
      </c>
      <c r="AV27" s="23">
        <f>'Проверочная  таблица'!VE28+'Проверочная  таблица'!TW28+'Проверочная  таблица'!UL28</f>
        <v>0</v>
      </c>
      <c r="AW27" s="26"/>
      <c r="AX27" s="298">
        <f t="shared" si="23"/>
        <v>43700593.230000004</v>
      </c>
      <c r="AY27" s="298">
        <f t="shared" si="24"/>
        <v>30626450</v>
      </c>
      <c r="AZ27" s="299">
        <f t="shared" si="2"/>
        <v>12361092.810000001</v>
      </c>
      <c r="BA27" s="300">
        <f t="shared" si="3"/>
        <v>713050.42</v>
      </c>
      <c r="BB27" s="299">
        <f t="shared" si="4"/>
        <v>0</v>
      </c>
      <c r="BC27" s="301"/>
      <c r="BD27" s="300">
        <f t="shared" si="25"/>
        <v>0</v>
      </c>
      <c r="BE27" s="299">
        <f>'Проверочная  таблица'!M28+'Проверочная  таблица'!U28+'Проверочная  таблица'!AH28</f>
        <v>0</v>
      </c>
      <c r="BF27" s="300">
        <f>'Проверочная  таблица'!NR28+'Проверочная  таблица'!OP28+'Проверочная  таблица'!DL28+'Проверочная  таблица'!DT28+'Проверочная  таблица'!DD28+'Проверочная  таблица'!RR28+'Проверочная  таблица'!JP28+'Проверочная  таблица'!GV28+'Проверочная  таблица'!MT28+'Проверочная  таблица'!LF28+'Проверочная  таблица'!QZ28+'Проверочная  таблица'!ER28+'Проверочная  таблица'!CA28</f>
        <v>0</v>
      </c>
      <c r="BG27" s="298"/>
      <c r="BH27" s="302">
        <f>'Проверочная  таблица'!VM28+'Проверочная  таблица'!UR28</f>
        <v>0</v>
      </c>
      <c r="BI27" s="301"/>
      <c r="BK27" s="1254">
        <f t="shared" si="26"/>
        <v>24888.166809999999</v>
      </c>
      <c r="BL27" s="1254">
        <f t="shared" si="27"/>
        <v>0</v>
      </c>
    </row>
    <row r="28" spans="1:64" ht="21.75" customHeight="1" thickBot="1" x14ac:dyDescent="0.35">
      <c r="A28" s="28" t="s">
        <v>105</v>
      </c>
      <c r="B28" s="29">
        <f>'Проверочная  таблица'!B29</f>
        <v>561279008.07999992</v>
      </c>
      <c r="C28" s="30">
        <f>'Проверочная  таблица'!D29</f>
        <v>106381123</v>
      </c>
      <c r="D28" s="208">
        <f>'Проверочная  таблица'!AI29</f>
        <v>129431605.08</v>
      </c>
      <c r="E28" s="29">
        <f>'Проверочная  таблица'!RS29</f>
        <v>325466280</v>
      </c>
      <c r="F28" s="35">
        <f>'Проверочная  таблица'!SW29</f>
        <v>0</v>
      </c>
      <c r="G28" s="35"/>
      <c r="H28" s="31">
        <f t="shared" si="5"/>
        <v>462191835.87999994</v>
      </c>
      <c r="I28" s="32">
        <f t="shared" si="6"/>
        <v>52077323</v>
      </c>
      <c r="J28" s="31">
        <f t="shared" si="7"/>
        <v>86468832.879999995</v>
      </c>
      <c r="K28" s="32">
        <f t="shared" si="8"/>
        <v>323645680</v>
      </c>
      <c r="L28" s="32">
        <f t="shared" si="9"/>
        <v>0</v>
      </c>
      <c r="M28" s="31"/>
      <c r="N28" s="33">
        <f t="shared" si="10"/>
        <v>99087172.200000003</v>
      </c>
      <c r="O28" s="32">
        <f>'Проверочная  таблица'!P29+'Проверочная  таблица'!AA29+'Проверочная  таблица'!H29</f>
        <v>54303800</v>
      </c>
      <c r="P28" s="22">
        <f>'Проверочная  таблица'!NC29+'Проверочная  таблица'!OA29+'Проверочная  таблица'!CQ29+'Проверочная  таблица'!DG29+'Проверочная  таблица'!DO29+'Проверочная  таблица'!HW29+'Проверочная  таблица'!LU29+'Проверочная  таблица'!GG29+'Проверочная  таблица'!RM29+'Проверочная  таблица'!KU29+'Проверочная  таблица'!PG29+'Проверочная  таблица'!EK29+'Проверочная  таблица'!AW29</f>
        <v>42962772.200000003</v>
      </c>
      <c r="Q28" s="33">
        <f>'Проверочная  таблица'!SE29</f>
        <v>1820600</v>
      </c>
      <c r="R28" s="1483">
        <f>'Проверочная  таблица'!VC29+'Проверочная  таблица'!TU29+'Проверочная  таблица'!UI29</f>
        <v>0</v>
      </c>
      <c r="S28" s="34"/>
      <c r="T28" s="303">
        <f t="shared" si="11"/>
        <v>71637316.950000003</v>
      </c>
      <c r="U28" s="303">
        <f t="shared" si="12"/>
        <v>51277100</v>
      </c>
      <c r="V28" s="304">
        <f t="shared" si="13"/>
        <v>18539616.950000003</v>
      </c>
      <c r="W28" s="305">
        <f t="shared" si="14"/>
        <v>1820600</v>
      </c>
      <c r="X28" s="304">
        <f t="shared" si="15"/>
        <v>0</v>
      </c>
      <c r="Y28" s="306"/>
      <c r="Z28" s="305">
        <f t="shared" si="16"/>
        <v>27449855.25</v>
      </c>
      <c r="AA28" s="303">
        <f>'Проверочная  таблица'!AG29+'Проверочная  таблица'!T29+'Проверочная  таблица'!L29</f>
        <v>3026700</v>
      </c>
      <c r="AB28" s="304">
        <f>'Проверочная  таблица'!NO29+'Проверочная  таблица'!OM29+'Проверочная  таблица'!DK29+'Проверочная  таблица'!DS29+'Проверочная  таблица'!DC29+'Проверочная  таблица'!RQ29+'Проверочная  таблица'!JG29+'Проверочная  таблица'!GS29+'Проверочная  таблица'!MO29+'Проверочная  таблица'!LE29+'Проверочная  таблица'!QQ29+'Проверочная  таблица'!EQ29+'Проверочная  таблица'!BU29</f>
        <v>24423155.25</v>
      </c>
      <c r="AC28" s="305"/>
      <c r="AD28" s="307">
        <f>'Проверочная  таблица'!VK29+'Проверочная  таблица'!UQ29</f>
        <v>0</v>
      </c>
      <c r="AE28" s="306"/>
      <c r="AF28" s="35">
        <f>'Проверочная  таблица'!C29</f>
        <v>441156962.58000004</v>
      </c>
      <c r="AG28" s="30">
        <f>'Проверочная  таблица'!E29</f>
        <v>87372475</v>
      </c>
      <c r="AH28" s="208">
        <f>'Проверочная  таблица'!AJ29</f>
        <v>106193965.28</v>
      </c>
      <c r="AI28" s="29">
        <f>'Проверочная  таблица'!RV29</f>
        <v>247590522.30000001</v>
      </c>
      <c r="AJ28" s="34">
        <f>'Проверочная  таблица'!SX29</f>
        <v>0</v>
      </c>
      <c r="AK28" s="35"/>
      <c r="AL28" s="31">
        <f t="shared" si="17"/>
        <v>362188861.02000004</v>
      </c>
      <c r="AM28" s="32">
        <f t="shared" si="18"/>
        <v>46084475</v>
      </c>
      <c r="AN28" s="31">
        <f t="shared" si="19"/>
        <v>69664585.379999995</v>
      </c>
      <c r="AO28" s="32">
        <f t="shared" si="20"/>
        <v>246439800.64000002</v>
      </c>
      <c r="AP28" s="32">
        <f t="shared" si="21"/>
        <v>0</v>
      </c>
      <c r="AQ28" s="31"/>
      <c r="AR28" s="33">
        <f t="shared" si="22"/>
        <v>78968101.560000002</v>
      </c>
      <c r="AS28" s="33">
        <f>'Проверочная  таблица'!Q29+'Проверочная  таблица'!AB29+'Проверочная  таблица'!I29</f>
        <v>41288000</v>
      </c>
      <c r="AT28" s="32">
        <f>'Проверочная  таблица'!OD29+'Проверочная  таблица'!RN29+'Проверочная  таблица'!NF29+'Проверочная  таблица'!DP29+'Проверочная  таблица'!DH29+'Проверочная  таблица'!CV29+'Проверочная  таблица'!IF29+'Проверочная  таблица'!GJ29+'Проверочная  таблица'!LZ29+'Проверочная  таблица'!KY29+'Проверочная  таблица'!PP29+'Проверочная  таблица'!EM29+'Проверочная  таблица'!BC29</f>
        <v>36529379.900000006</v>
      </c>
      <c r="AU28" s="31">
        <f>'Проверочная  таблица'!SF29</f>
        <v>1150721.6599999999</v>
      </c>
      <c r="AV28" s="32">
        <f>'Проверочная  таблица'!VE29+'Проверочная  таблица'!TW29+'Проверочная  таблица'!UL29</f>
        <v>0</v>
      </c>
      <c r="AW28" s="35"/>
      <c r="AX28" s="303">
        <f t="shared" si="23"/>
        <v>53057210.969999999</v>
      </c>
      <c r="AY28" s="303">
        <f t="shared" si="24"/>
        <v>38567000</v>
      </c>
      <c r="AZ28" s="304">
        <f t="shared" si="2"/>
        <v>13339489.310000002</v>
      </c>
      <c r="BA28" s="305">
        <f t="shared" si="3"/>
        <v>1150721.6599999999</v>
      </c>
      <c r="BB28" s="304">
        <f t="shared" si="4"/>
        <v>0</v>
      </c>
      <c r="BC28" s="306"/>
      <c r="BD28" s="305">
        <f t="shared" si="25"/>
        <v>25910890.590000004</v>
      </c>
      <c r="BE28" s="304">
        <f>'Проверочная  таблица'!M29+'Проверочная  таблица'!U29+'Проверочная  таблица'!AH29</f>
        <v>2721000</v>
      </c>
      <c r="BF28" s="300">
        <f>'Проверочная  таблица'!NR29+'Проверочная  таблица'!OP29+'Проверочная  таблица'!DL29+'Проверочная  таблица'!DT29+'Проверочная  таблица'!DD29+'Проверочная  таблица'!RR29+'Проверочная  таблица'!JP29+'Проверочная  таблица'!GV29+'Проверочная  таблица'!MT29+'Проверочная  таблица'!LF29+'Проверочная  таблица'!QZ29+'Проверочная  таблица'!ER29+'Проверочная  таблица'!CA29</f>
        <v>23189890.590000004</v>
      </c>
      <c r="BG28" s="303"/>
      <c r="BH28" s="307">
        <f>'Проверочная  таблица'!VM29+'Проверочная  таблица'!UR29</f>
        <v>0</v>
      </c>
      <c r="BI28" s="306"/>
      <c r="BK28" s="1254">
        <f t="shared" si="26"/>
        <v>20360.216950000002</v>
      </c>
      <c r="BL28" s="1254">
        <f t="shared" si="27"/>
        <v>24423.15525</v>
      </c>
    </row>
    <row r="29" spans="1:64" ht="21.75" customHeight="1" thickBot="1" x14ac:dyDescent="0.35">
      <c r="A29" s="36" t="s">
        <v>113</v>
      </c>
      <c r="B29" s="37">
        <f t="shared" ref="B29:AW29" si="28">SUM(B11:B28)</f>
        <v>11276662389.730001</v>
      </c>
      <c r="C29" s="38">
        <f t="shared" si="28"/>
        <v>1844987717</v>
      </c>
      <c r="D29" s="209">
        <f>SUM(D11:D28)</f>
        <v>3568045152.73</v>
      </c>
      <c r="E29" s="37">
        <f t="shared" si="28"/>
        <v>5653629520</v>
      </c>
      <c r="F29" s="37">
        <f t="shared" si="28"/>
        <v>210000000</v>
      </c>
      <c r="G29" s="37">
        <f t="shared" si="28"/>
        <v>0</v>
      </c>
      <c r="H29" s="39">
        <f t="shared" si="28"/>
        <v>8535856736.8799992</v>
      </c>
      <c r="I29" s="37">
        <f>SUM(I11:I28)</f>
        <v>800700617</v>
      </c>
      <c r="J29" s="38">
        <f>SUM(J11:J28)</f>
        <v>2109028099.8799996</v>
      </c>
      <c r="K29" s="40">
        <f t="shared" si="28"/>
        <v>5626128020</v>
      </c>
      <c r="L29" s="37">
        <f t="shared" si="28"/>
        <v>0</v>
      </c>
      <c r="M29" s="38">
        <f t="shared" si="28"/>
        <v>0</v>
      </c>
      <c r="N29" s="150">
        <f t="shared" si="28"/>
        <v>2740805652.8499999</v>
      </c>
      <c r="O29" s="38">
        <f t="shared" si="28"/>
        <v>1044287100</v>
      </c>
      <c r="P29" s="150">
        <f>SUM(P11:P28)</f>
        <v>1459017052.8499999</v>
      </c>
      <c r="Q29" s="38">
        <f t="shared" si="28"/>
        <v>27501500</v>
      </c>
      <c r="R29" s="150">
        <f t="shared" si="28"/>
        <v>210000000</v>
      </c>
      <c r="S29" s="37">
        <f t="shared" si="28"/>
        <v>0</v>
      </c>
      <c r="T29" s="308">
        <f t="shared" ref="T29:AE29" si="29">SUM(T11:T28)</f>
        <v>2033840463.9599998</v>
      </c>
      <c r="U29" s="309">
        <f t="shared" si="29"/>
        <v>864596200</v>
      </c>
      <c r="V29" s="310">
        <f t="shared" si="29"/>
        <v>951742763.96000004</v>
      </c>
      <c r="W29" s="309">
        <f t="shared" si="29"/>
        <v>27501500</v>
      </c>
      <c r="X29" s="310">
        <f t="shared" si="29"/>
        <v>190000000</v>
      </c>
      <c r="Y29" s="311">
        <f t="shared" si="29"/>
        <v>0</v>
      </c>
      <c r="Z29" s="308">
        <f t="shared" si="29"/>
        <v>706965188.88999999</v>
      </c>
      <c r="AA29" s="309">
        <f t="shared" si="29"/>
        <v>179690900</v>
      </c>
      <c r="AB29" s="310">
        <f t="shared" si="29"/>
        <v>507274288.88999999</v>
      </c>
      <c r="AC29" s="309">
        <f t="shared" si="29"/>
        <v>0</v>
      </c>
      <c r="AD29" s="310">
        <f t="shared" si="29"/>
        <v>20000000</v>
      </c>
      <c r="AE29" s="311">
        <f t="shared" si="29"/>
        <v>0</v>
      </c>
      <c r="AF29" s="37">
        <f t="shared" si="28"/>
        <v>8707239176.3600006</v>
      </c>
      <c r="AG29" s="38">
        <f t="shared" si="28"/>
        <v>1489097002.52</v>
      </c>
      <c r="AH29" s="209">
        <f>SUM(AH11:AH28)</f>
        <v>2581202386.6700001</v>
      </c>
      <c r="AI29" s="37">
        <f t="shared" si="28"/>
        <v>4476178180.4099998</v>
      </c>
      <c r="AJ29" s="37">
        <f t="shared" si="28"/>
        <v>160761606.75999999</v>
      </c>
      <c r="AK29" s="37">
        <f t="shared" si="28"/>
        <v>0</v>
      </c>
      <c r="AL29" s="39">
        <f t="shared" si="28"/>
        <v>6791854680.5999994</v>
      </c>
      <c r="AM29" s="40">
        <f>SUM(AM11:AM28)</f>
        <v>658969676.68000007</v>
      </c>
      <c r="AN29" s="39">
        <f>SUM(AN11:AN28)</f>
        <v>1674608343.3199997</v>
      </c>
      <c r="AO29" s="40">
        <f t="shared" si="28"/>
        <v>4458276660.6000004</v>
      </c>
      <c r="AP29" s="37">
        <f t="shared" si="28"/>
        <v>0</v>
      </c>
      <c r="AQ29" s="38">
        <f t="shared" si="28"/>
        <v>0</v>
      </c>
      <c r="AR29" s="40">
        <f t="shared" si="28"/>
        <v>1915384495.76</v>
      </c>
      <c r="AS29" s="39">
        <f t="shared" si="28"/>
        <v>830127325.84000003</v>
      </c>
      <c r="AT29" s="209">
        <f>SUM(AT11:AT28)</f>
        <v>906594043.3499999</v>
      </c>
      <c r="AU29" s="37">
        <f t="shared" si="28"/>
        <v>17901519.810000002</v>
      </c>
      <c r="AV29" s="37">
        <f t="shared" si="28"/>
        <v>160761606.75999999</v>
      </c>
      <c r="AW29" s="37">
        <f t="shared" si="28"/>
        <v>0</v>
      </c>
      <c r="AX29" s="308">
        <f t="shared" ref="AX29:BI29" si="30">SUM(AX11:AX28)</f>
        <v>1397623610.1500001</v>
      </c>
      <c r="AY29" s="309">
        <f t="shared" si="30"/>
        <v>674177655.87</v>
      </c>
      <c r="AZ29" s="310">
        <f t="shared" si="30"/>
        <v>564782827.71000004</v>
      </c>
      <c r="BA29" s="309">
        <f t="shared" si="30"/>
        <v>17901519.810000002</v>
      </c>
      <c r="BB29" s="310">
        <f t="shared" si="30"/>
        <v>140761606.75999999</v>
      </c>
      <c r="BC29" s="311">
        <f t="shared" si="30"/>
        <v>0</v>
      </c>
      <c r="BD29" s="308">
        <f t="shared" si="30"/>
        <v>517760885.61000001</v>
      </c>
      <c r="BE29" s="309">
        <f t="shared" si="30"/>
        <v>155949669.97</v>
      </c>
      <c r="BF29" s="308">
        <f t="shared" si="30"/>
        <v>341811215.63999999</v>
      </c>
      <c r="BG29" s="309">
        <f t="shared" si="30"/>
        <v>0</v>
      </c>
      <c r="BH29" s="310">
        <f t="shared" si="30"/>
        <v>20000000</v>
      </c>
      <c r="BI29" s="310">
        <f t="shared" si="30"/>
        <v>0</v>
      </c>
      <c r="BK29" s="1254">
        <f t="shared" si="26"/>
        <v>1169244.2639600001</v>
      </c>
      <c r="BL29" s="1254">
        <f t="shared" si="27"/>
        <v>527274.28888999997</v>
      </c>
    </row>
    <row r="30" spans="1:64" ht="21.75" customHeight="1" x14ac:dyDescent="0.3">
      <c r="A30" s="41"/>
      <c r="B30" s="41"/>
      <c r="C30" s="42"/>
      <c r="D30" s="41"/>
      <c r="E30" s="42"/>
      <c r="F30" s="41"/>
      <c r="G30" s="41"/>
      <c r="H30" s="43"/>
      <c r="I30" s="44"/>
      <c r="J30" s="43"/>
      <c r="K30" s="44"/>
      <c r="L30" s="46"/>
      <c r="M30" s="45"/>
      <c r="N30" s="46"/>
      <c r="O30" s="47"/>
      <c r="P30" s="717"/>
      <c r="Q30" s="47"/>
      <c r="R30" s="41"/>
      <c r="S30" s="46"/>
      <c r="T30" s="312"/>
      <c r="U30" s="313"/>
      <c r="V30" s="314"/>
      <c r="W30" s="313"/>
      <c r="X30" s="315"/>
      <c r="Y30" s="312"/>
      <c r="Z30" s="312"/>
      <c r="AA30" s="313"/>
      <c r="AB30" s="314"/>
      <c r="AC30" s="313"/>
      <c r="AD30" s="315"/>
      <c r="AE30" s="312"/>
      <c r="AF30" s="41"/>
      <c r="AG30" s="42"/>
      <c r="AH30" s="27"/>
      <c r="AI30" s="41"/>
      <c r="AJ30" s="41"/>
      <c r="AK30" s="41"/>
      <c r="AL30" s="43"/>
      <c r="AM30" s="44"/>
      <c r="AN30" s="43"/>
      <c r="AO30" s="44"/>
      <c r="AP30" s="41"/>
      <c r="AQ30" s="42"/>
      <c r="AR30" s="44"/>
      <c r="AS30" s="43"/>
      <c r="AT30" s="44"/>
      <c r="AU30" s="43"/>
      <c r="AV30" s="41"/>
      <c r="AW30" s="41"/>
      <c r="AX30" s="312"/>
      <c r="AY30" s="313"/>
      <c r="AZ30" s="314"/>
      <c r="BA30" s="313"/>
      <c r="BB30" s="315"/>
      <c r="BC30" s="312"/>
      <c r="BD30" s="312"/>
      <c r="BE30" s="313"/>
      <c r="BF30" s="314"/>
      <c r="BG30" s="313"/>
      <c r="BH30" s="315"/>
      <c r="BI30" s="312"/>
      <c r="BK30" s="1252">
        <f t="shared" si="26"/>
        <v>0</v>
      </c>
      <c r="BL30" s="1252">
        <f t="shared" si="27"/>
        <v>0</v>
      </c>
    </row>
    <row r="31" spans="1:64" ht="21.75" customHeight="1" x14ac:dyDescent="0.3">
      <c r="A31" s="48" t="s">
        <v>5</v>
      </c>
      <c r="B31" s="20">
        <f>'Проверочная  таблица'!B32</f>
        <v>1878333213.03</v>
      </c>
      <c r="C31" s="21">
        <f>'Проверочная  таблица'!D32</f>
        <v>284011885</v>
      </c>
      <c r="D31" s="20">
        <f>'Проверочная  таблица'!AI32</f>
        <v>743070073.02999997</v>
      </c>
      <c r="E31" s="21">
        <f>'Проверочная  таблица'!RS32</f>
        <v>801251255</v>
      </c>
      <c r="F31" s="20">
        <f>'Проверочная  таблица'!SW32</f>
        <v>50000000</v>
      </c>
      <c r="G31" s="20"/>
      <c r="H31" s="22">
        <f t="shared" ref="H31:M32" si="31">B31-N31</f>
        <v>1878333213.03</v>
      </c>
      <c r="I31" s="23">
        <f t="shared" si="31"/>
        <v>284011885</v>
      </c>
      <c r="J31" s="22">
        <f t="shared" si="31"/>
        <v>743070073.02999997</v>
      </c>
      <c r="K31" s="23">
        <f t="shared" si="31"/>
        <v>801251255</v>
      </c>
      <c r="L31" s="23">
        <f t="shared" si="31"/>
        <v>50000000</v>
      </c>
      <c r="M31" s="22">
        <f t="shared" si="31"/>
        <v>0</v>
      </c>
      <c r="N31" s="23"/>
      <c r="O31" s="23"/>
      <c r="P31" s="22"/>
      <c r="Q31" s="24"/>
      <c r="R31" s="20"/>
      <c r="S31" s="23"/>
      <c r="T31" s="299"/>
      <c r="U31" s="300"/>
      <c r="V31" s="299"/>
      <c r="W31" s="300"/>
      <c r="X31" s="302"/>
      <c r="Y31" s="299"/>
      <c r="Z31" s="299"/>
      <c r="AA31" s="300"/>
      <c r="AB31" s="299"/>
      <c r="AC31" s="300"/>
      <c r="AD31" s="302"/>
      <c r="AE31" s="299"/>
      <c r="AF31" s="20">
        <f>'Проверочная  таблица'!C32</f>
        <v>1259637766.55</v>
      </c>
      <c r="AG31" s="21">
        <f>'Проверочная  таблица'!E32</f>
        <v>230355766</v>
      </c>
      <c r="AH31" s="207">
        <f>'Проверочная  таблица'!AJ32</f>
        <v>390006970.63999999</v>
      </c>
      <c r="AI31" s="20">
        <f>'Проверочная  таблица'!RV32</f>
        <v>618775029.90999997</v>
      </c>
      <c r="AJ31" s="23">
        <f>'Проверочная  таблица'!SX32</f>
        <v>20500000</v>
      </c>
      <c r="AK31" s="20"/>
      <c r="AL31" s="22">
        <f t="shared" ref="AL31:AP32" si="32">AF31-AR31</f>
        <v>1259637766.55</v>
      </c>
      <c r="AM31" s="23">
        <f t="shared" si="32"/>
        <v>230355766</v>
      </c>
      <c r="AN31" s="22">
        <f t="shared" si="32"/>
        <v>390006970.63999999</v>
      </c>
      <c r="AO31" s="23">
        <f t="shared" si="32"/>
        <v>618775029.90999997</v>
      </c>
      <c r="AP31" s="23">
        <f t="shared" si="32"/>
        <v>20500000</v>
      </c>
      <c r="AQ31" s="22"/>
      <c r="AR31" s="23"/>
      <c r="AS31" s="22"/>
      <c r="AT31" s="23"/>
      <c r="AU31" s="22"/>
      <c r="AV31" s="23"/>
      <c r="AW31" s="20"/>
      <c r="AX31" s="299"/>
      <c r="AY31" s="300"/>
      <c r="AZ31" s="299"/>
      <c r="BA31" s="300"/>
      <c r="BB31" s="302"/>
      <c r="BC31" s="299"/>
      <c r="BD31" s="299"/>
      <c r="BE31" s="300"/>
      <c r="BF31" s="299"/>
      <c r="BG31" s="300"/>
      <c r="BH31" s="302"/>
      <c r="BI31" s="299"/>
      <c r="BK31" s="1252">
        <f t="shared" si="26"/>
        <v>0</v>
      </c>
      <c r="BL31" s="1252">
        <f t="shared" si="27"/>
        <v>0</v>
      </c>
    </row>
    <row r="32" spans="1:64" ht="21.75" customHeight="1" thickBot="1" x14ac:dyDescent="0.35">
      <c r="A32" s="41" t="s">
        <v>6</v>
      </c>
      <c r="B32" s="20">
        <f>'Проверочная  таблица'!B33</f>
        <v>9137371660.7699986</v>
      </c>
      <c r="C32" s="21">
        <f>'Проверочная  таблица'!D33</f>
        <v>625734898</v>
      </c>
      <c r="D32" s="20">
        <f>'Проверочная  таблица'!AI33</f>
        <v>3192812015.7199998</v>
      </c>
      <c r="E32" s="21">
        <f>'Проверочная  таблица'!RS33</f>
        <v>4215972256</v>
      </c>
      <c r="F32" s="20">
        <f>'Проверочная  таблица'!SW33</f>
        <v>1102852491.05</v>
      </c>
      <c r="G32" s="20"/>
      <c r="H32" s="22">
        <f t="shared" si="31"/>
        <v>9137371660.7699986</v>
      </c>
      <c r="I32" s="23">
        <f t="shared" si="31"/>
        <v>625734898</v>
      </c>
      <c r="J32" s="22">
        <f t="shared" si="31"/>
        <v>3192812015.7199998</v>
      </c>
      <c r="K32" s="23">
        <f t="shared" si="31"/>
        <v>4215972256</v>
      </c>
      <c r="L32" s="23">
        <f t="shared" si="31"/>
        <v>1102852491.05</v>
      </c>
      <c r="M32" s="22">
        <f t="shared" si="31"/>
        <v>0</v>
      </c>
      <c r="N32" s="23"/>
      <c r="O32" s="23"/>
      <c r="P32" s="22"/>
      <c r="Q32" s="24"/>
      <c r="R32" s="20"/>
      <c r="S32" s="23"/>
      <c r="T32" s="299"/>
      <c r="U32" s="300"/>
      <c r="V32" s="299"/>
      <c r="W32" s="300"/>
      <c r="X32" s="302"/>
      <c r="Y32" s="299"/>
      <c r="Z32" s="299"/>
      <c r="AA32" s="300"/>
      <c r="AB32" s="299"/>
      <c r="AC32" s="300"/>
      <c r="AD32" s="302"/>
      <c r="AE32" s="299"/>
      <c r="AF32" s="20">
        <f>'Проверочная  таблица'!C33</f>
        <v>5765367922.0100002</v>
      </c>
      <c r="AG32" s="21">
        <f>'Проверочная  таблица'!E33</f>
        <v>497516075</v>
      </c>
      <c r="AH32" s="207">
        <f>'Проверочная  таблица'!AJ33</f>
        <v>1451656816.53</v>
      </c>
      <c r="AI32" s="20">
        <f>'Проверочная  таблица'!RV33</f>
        <v>3129775230.0900002</v>
      </c>
      <c r="AJ32" s="23">
        <f>'Проверочная  таблица'!SX33</f>
        <v>686419800.38999999</v>
      </c>
      <c r="AK32" s="20"/>
      <c r="AL32" s="22">
        <f t="shared" si="32"/>
        <v>5765367922.0100002</v>
      </c>
      <c r="AM32" s="23">
        <f t="shared" si="32"/>
        <v>497516075</v>
      </c>
      <c r="AN32" s="22">
        <f t="shared" si="32"/>
        <v>1451656816.53</v>
      </c>
      <c r="AO32" s="23">
        <f t="shared" si="32"/>
        <v>3129775230.0900002</v>
      </c>
      <c r="AP32" s="23">
        <f t="shared" si="32"/>
        <v>686419800.38999999</v>
      </c>
      <c r="AQ32" s="22"/>
      <c r="AR32" s="23"/>
      <c r="AS32" s="22"/>
      <c r="AT32" s="23"/>
      <c r="AU32" s="22"/>
      <c r="AV32" s="23"/>
      <c r="AW32" s="20"/>
      <c r="AX32" s="299"/>
      <c r="AY32" s="300"/>
      <c r="AZ32" s="299"/>
      <c r="BA32" s="300"/>
      <c r="BB32" s="302"/>
      <c r="BC32" s="299"/>
      <c r="BD32" s="299"/>
      <c r="BE32" s="300"/>
      <c r="BF32" s="299"/>
      <c r="BG32" s="300"/>
      <c r="BH32" s="302"/>
      <c r="BI32" s="299"/>
      <c r="BK32" s="1252">
        <f t="shared" si="26"/>
        <v>0</v>
      </c>
      <c r="BL32" s="1252">
        <f t="shared" si="27"/>
        <v>0</v>
      </c>
    </row>
    <row r="33" spans="1:64" ht="21.75" customHeight="1" thickBot="1" x14ac:dyDescent="0.35">
      <c r="A33" s="36" t="s">
        <v>7</v>
      </c>
      <c r="B33" s="49">
        <f t="shared" ref="B33:AW33" si="33">SUM(B31:B32)</f>
        <v>11015704873.799999</v>
      </c>
      <c r="C33" s="50">
        <f t="shared" si="33"/>
        <v>909746783</v>
      </c>
      <c r="D33" s="49">
        <f>SUM(D31:D32)</f>
        <v>3935882088.75</v>
      </c>
      <c r="E33" s="50">
        <f t="shared" si="33"/>
        <v>5017223511</v>
      </c>
      <c r="F33" s="49">
        <f t="shared" si="33"/>
        <v>1152852491.05</v>
      </c>
      <c r="G33" s="49">
        <f t="shared" si="33"/>
        <v>0</v>
      </c>
      <c r="H33" s="50">
        <f t="shared" si="33"/>
        <v>11015704873.799999</v>
      </c>
      <c r="I33" s="49">
        <f>SUM(I31:I32)</f>
        <v>909746783</v>
      </c>
      <c r="J33" s="50">
        <f>SUM(J31:J32)</f>
        <v>3935882088.75</v>
      </c>
      <c r="K33" s="49">
        <f t="shared" si="33"/>
        <v>5017223511</v>
      </c>
      <c r="L33" s="49">
        <f t="shared" si="33"/>
        <v>1152852491.05</v>
      </c>
      <c r="M33" s="50">
        <f t="shared" si="33"/>
        <v>0</v>
      </c>
      <c r="N33" s="49">
        <f t="shared" si="33"/>
        <v>0</v>
      </c>
      <c r="O33" s="50">
        <f t="shared" si="33"/>
        <v>0</v>
      </c>
      <c r="P33" s="150">
        <f>SUM(P31:P32)</f>
        <v>0</v>
      </c>
      <c r="Q33" s="50">
        <f t="shared" si="33"/>
        <v>0</v>
      </c>
      <c r="R33" s="49">
        <f t="shared" si="33"/>
        <v>0</v>
      </c>
      <c r="S33" s="49">
        <f t="shared" si="33"/>
        <v>0</v>
      </c>
      <c r="T33" s="316">
        <f t="shared" ref="T33:AE33" si="34">SUM(T31:T32)</f>
        <v>0</v>
      </c>
      <c r="U33" s="317">
        <f t="shared" si="34"/>
        <v>0</v>
      </c>
      <c r="V33" s="316">
        <f t="shared" si="34"/>
        <v>0</v>
      </c>
      <c r="W33" s="317">
        <f t="shared" si="34"/>
        <v>0</v>
      </c>
      <c r="X33" s="316">
        <f t="shared" si="34"/>
        <v>0</v>
      </c>
      <c r="Y33" s="316">
        <f t="shared" si="34"/>
        <v>0</v>
      </c>
      <c r="Z33" s="316">
        <f t="shared" si="34"/>
        <v>0</v>
      </c>
      <c r="AA33" s="317">
        <f t="shared" si="34"/>
        <v>0</v>
      </c>
      <c r="AB33" s="316">
        <f t="shared" si="34"/>
        <v>0</v>
      </c>
      <c r="AC33" s="317">
        <f t="shared" si="34"/>
        <v>0</v>
      </c>
      <c r="AD33" s="316">
        <f t="shared" si="34"/>
        <v>0</v>
      </c>
      <c r="AE33" s="316">
        <f t="shared" si="34"/>
        <v>0</v>
      </c>
      <c r="AF33" s="49">
        <f t="shared" si="33"/>
        <v>7025005688.5600004</v>
      </c>
      <c r="AG33" s="50">
        <f t="shared" si="33"/>
        <v>727871841</v>
      </c>
      <c r="AH33" s="210">
        <f>SUM(AH31:AH32)</f>
        <v>1841663787.1700001</v>
      </c>
      <c r="AI33" s="150">
        <f t="shared" si="33"/>
        <v>3748550260</v>
      </c>
      <c r="AJ33" s="49">
        <f t="shared" si="33"/>
        <v>706919800.38999999</v>
      </c>
      <c r="AK33" s="49">
        <f t="shared" si="33"/>
        <v>0</v>
      </c>
      <c r="AL33" s="50">
        <f t="shared" si="33"/>
        <v>7025005688.5600004</v>
      </c>
      <c r="AM33" s="49">
        <f>SUM(AM31:AM32)</f>
        <v>727871841</v>
      </c>
      <c r="AN33" s="50">
        <f>SUM(AN31:AN32)</f>
        <v>1841663787.1700001</v>
      </c>
      <c r="AO33" s="49">
        <f t="shared" si="33"/>
        <v>3748550260</v>
      </c>
      <c r="AP33" s="49">
        <f t="shared" si="33"/>
        <v>706919800.38999999</v>
      </c>
      <c r="AQ33" s="50">
        <f t="shared" si="33"/>
        <v>0</v>
      </c>
      <c r="AR33" s="49">
        <f t="shared" si="33"/>
        <v>0</v>
      </c>
      <c r="AS33" s="50">
        <f t="shared" si="33"/>
        <v>0</v>
      </c>
      <c r="AT33" s="49">
        <f>SUM(AT31:AT32)</f>
        <v>0</v>
      </c>
      <c r="AU33" s="50">
        <f t="shared" si="33"/>
        <v>0</v>
      </c>
      <c r="AV33" s="49">
        <f t="shared" si="33"/>
        <v>0</v>
      </c>
      <c r="AW33" s="49">
        <f t="shared" si="33"/>
        <v>0</v>
      </c>
      <c r="AX33" s="316">
        <f t="shared" ref="AX33:BI33" si="35">SUM(AX31:AX32)</f>
        <v>0</v>
      </c>
      <c r="AY33" s="317">
        <f t="shared" si="35"/>
        <v>0</v>
      </c>
      <c r="AZ33" s="316">
        <f t="shared" si="35"/>
        <v>0</v>
      </c>
      <c r="BA33" s="317">
        <f t="shared" si="35"/>
        <v>0</v>
      </c>
      <c r="BB33" s="316">
        <f t="shared" si="35"/>
        <v>0</v>
      </c>
      <c r="BC33" s="316">
        <f t="shared" si="35"/>
        <v>0</v>
      </c>
      <c r="BD33" s="316">
        <f t="shared" si="35"/>
        <v>0</v>
      </c>
      <c r="BE33" s="317">
        <f t="shared" si="35"/>
        <v>0</v>
      </c>
      <c r="BF33" s="316">
        <f t="shared" si="35"/>
        <v>0</v>
      </c>
      <c r="BG33" s="317">
        <f t="shared" si="35"/>
        <v>0</v>
      </c>
      <c r="BH33" s="316">
        <f t="shared" si="35"/>
        <v>0</v>
      </c>
      <c r="BI33" s="316">
        <f t="shared" si="35"/>
        <v>0</v>
      </c>
      <c r="BK33" s="1252">
        <f t="shared" si="26"/>
        <v>0</v>
      </c>
      <c r="BL33" s="1252">
        <f t="shared" si="27"/>
        <v>0</v>
      </c>
    </row>
    <row r="34" spans="1:64" ht="21.75" customHeight="1" x14ac:dyDescent="0.3">
      <c r="A34" s="51"/>
      <c r="B34" s="51"/>
      <c r="C34" s="52"/>
      <c r="D34" s="51"/>
      <c r="E34" s="52"/>
      <c r="F34" s="51"/>
      <c r="G34" s="51"/>
      <c r="H34" s="53"/>
      <c r="I34" s="54"/>
      <c r="J34" s="53"/>
      <c r="K34" s="54"/>
      <c r="L34" s="54"/>
      <c r="M34" s="53"/>
      <c r="N34" s="54"/>
      <c r="O34" s="53"/>
      <c r="P34" s="54"/>
      <c r="Q34" s="53"/>
      <c r="R34" s="51"/>
      <c r="S34" s="54"/>
      <c r="T34" s="318"/>
      <c r="U34" s="319"/>
      <c r="V34" s="318"/>
      <c r="W34" s="319"/>
      <c r="X34" s="320"/>
      <c r="Y34" s="318"/>
      <c r="Z34" s="318"/>
      <c r="AA34" s="319"/>
      <c r="AB34" s="318"/>
      <c r="AC34" s="319"/>
      <c r="AD34" s="320"/>
      <c r="AE34" s="318"/>
      <c r="AF34" s="51"/>
      <c r="AG34" s="52"/>
      <c r="AH34" s="51"/>
      <c r="AI34" s="52"/>
      <c r="AJ34" s="51"/>
      <c r="AK34" s="51"/>
      <c r="AL34" s="53"/>
      <c r="AM34" s="54"/>
      <c r="AN34" s="53"/>
      <c r="AO34" s="54"/>
      <c r="AP34" s="51"/>
      <c r="AQ34" s="52"/>
      <c r="AR34" s="54"/>
      <c r="AS34" s="53"/>
      <c r="AT34" s="54"/>
      <c r="AU34" s="53"/>
      <c r="AV34" s="51"/>
      <c r="AW34" s="51"/>
      <c r="AX34" s="318"/>
      <c r="AY34" s="319"/>
      <c r="AZ34" s="318"/>
      <c r="BA34" s="319"/>
      <c r="BB34" s="320"/>
      <c r="BC34" s="318"/>
      <c r="BD34" s="318"/>
      <c r="BE34" s="319"/>
      <c r="BF34" s="318"/>
      <c r="BG34" s="319"/>
      <c r="BH34" s="320"/>
      <c r="BI34" s="318"/>
      <c r="BK34" s="1252">
        <f t="shared" si="26"/>
        <v>0</v>
      </c>
      <c r="BL34" s="1252">
        <f t="shared" si="27"/>
        <v>0</v>
      </c>
    </row>
    <row r="35" spans="1:64" ht="21.75" customHeight="1" thickBot="1" x14ac:dyDescent="0.35">
      <c r="A35" s="55"/>
      <c r="B35" s="55"/>
      <c r="C35" s="56"/>
      <c r="D35" s="55"/>
      <c r="E35" s="56"/>
      <c r="F35" s="55"/>
      <c r="G35" s="55"/>
      <c r="H35" s="57"/>
      <c r="I35" s="58"/>
      <c r="J35" s="57"/>
      <c r="K35" s="58"/>
      <c r="L35" s="58"/>
      <c r="M35" s="57"/>
      <c r="N35" s="58"/>
      <c r="O35" s="57"/>
      <c r="P35" s="58"/>
      <c r="Q35" s="57"/>
      <c r="R35" s="55"/>
      <c r="S35" s="58"/>
      <c r="T35" s="321"/>
      <c r="U35" s="322"/>
      <c r="V35" s="321"/>
      <c r="W35" s="322"/>
      <c r="X35" s="323"/>
      <c r="Y35" s="321"/>
      <c r="Z35" s="321"/>
      <c r="AA35" s="322"/>
      <c r="AB35" s="321"/>
      <c r="AC35" s="322"/>
      <c r="AD35" s="323"/>
      <c r="AE35" s="321"/>
      <c r="AF35" s="55"/>
      <c r="AG35" s="56"/>
      <c r="AH35" s="55"/>
      <c r="AI35" s="56"/>
      <c r="AJ35" s="55"/>
      <c r="AK35" s="55"/>
      <c r="AL35" s="57"/>
      <c r="AM35" s="58"/>
      <c r="AN35" s="57"/>
      <c r="AO35" s="58"/>
      <c r="AP35" s="55"/>
      <c r="AQ35" s="56"/>
      <c r="AR35" s="58"/>
      <c r="AS35" s="57"/>
      <c r="AT35" s="58"/>
      <c r="AU35" s="57"/>
      <c r="AV35" s="55"/>
      <c r="AW35" s="55"/>
      <c r="AX35" s="321"/>
      <c r="AY35" s="322"/>
      <c r="AZ35" s="321"/>
      <c r="BA35" s="322"/>
      <c r="BB35" s="323"/>
      <c r="BC35" s="321"/>
      <c r="BD35" s="321"/>
      <c r="BE35" s="322"/>
      <c r="BF35" s="321"/>
      <c r="BG35" s="322"/>
      <c r="BH35" s="323"/>
      <c r="BI35" s="321"/>
      <c r="BK35" s="1252">
        <f t="shared" si="26"/>
        <v>0</v>
      </c>
      <c r="BL35" s="1252">
        <f t="shared" si="27"/>
        <v>0</v>
      </c>
    </row>
    <row r="36" spans="1:64" ht="21.75" customHeight="1" thickBot="1" x14ac:dyDescent="0.35">
      <c r="A36" s="36" t="s">
        <v>43</v>
      </c>
      <c r="B36" s="59">
        <f t="shared" ref="B36:AG36" si="36">B29+B33</f>
        <v>22292367263.529999</v>
      </c>
      <c r="C36" s="60">
        <f t="shared" si="36"/>
        <v>2754734500</v>
      </c>
      <c r="D36" s="59">
        <f t="shared" si="36"/>
        <v>7503927241.4799995</v>
      </c>
      <c r="E36" s="60">
        <f t="shared" si="36"/>
        <v>10670853031</v>
      </c>
      <c r="F36" s="59">
        <f t="shared" si="36"/>
        <v>1362852491.05</v>
      </c>
      <c r="G36" s="59">
        <f t="shared" si="36"/>
        <v>0</v>
      </c>
      <c r="H36" s="60">
        <f t="shared" si="36"/>
        <v>19551561610.68</v>
      </c>
      <c r="I36" s="59">
        <f t="shared" si="36"/>
        <v>1710447400</v>
      </c>
      <c r="J36" s="60">
        <f t="shared" si="36"/>
        <v>6044910188.6299992</v>
      </c>
      <c r="K36" s="59">
        <f t="shared" si="36"/>
        <v>10643351531</v>
      </c>
      <c r="L36" s="59">
        <f t="shared" si="36"/>
        <v>1152852491.05</v>
      </c>
      <c r="M36" s="60">
        <f t="shared" si="36"/>
        <v>0</v>
      </c>
      <c r="N36" s="59">
        <f t="shared" si="36"/>
        <v>2740805652.8499999</v>
      </c>
      <c r="O36" s="60">
        <f t="shared" si="36"/>
        <v>1044287100</v>
      </c>
      <c r="P36" s="59">
        <f t="shared" si="36"/>
        <v>1459017052.8499999</v>
      </c>
      <c r="Q36" s="60">
        <f t="shared" si="36"/>
        <v>27501500</v>
      </c>
      <c r="R36" s="59">
        <f t="shared" si="36"/>
        <v>210000000</v>
      </c>
      <c r="S36" s="59">
        <f t="shared" si="36"/>
        <v>0</v>
      </c>
      <c r="T36" s="324">
        <f t="shared" si="36"/>
        <v>2033840463.9599998</v>
      </c>
      <c r="U36" s="325">
        <f t="shared" si="36"/>
        <v>864596200</v>
      </c>
      <c r="V36" s="324">
        <f t="shared" si="36"/>
        <v>951742763.96000004</v>
      </c>
      <c r="W36" s="325">
        <f t="shared" si="36"/>
        <v>27501500</v>
      </c>
      <c r="X36" s="324">
        <f t="shared" si="36"/>
        <v>190000000</v>
      </c>
      <c r="Y36" s="324">
        <f t="shared" si="36"/>
        <v>0</v>
      </c>
      <c r="Z36" s="324">
        <f t="shared" si="36"/>
        <v>706965188.88999999</v>
      </c>
      <c r="AA36" s="325">
        <f t="shared" si="36"/>
        <v>179690900</v>
      </c>
      <c r="AB36" s="324">
        <f t="shared" si="36"/>
        <v>507274288.88999999</v>
      </c>
      <c r="AC36" s="325">
        <f t="shared" si="36"/>
        <v>0</v>
      </c>
      <c r="AD36" s="324">
        <f t="shared" si="36"/>
        <v>20000000</v>
      </c>
      <c r="AE36" s="324">
        <f t="shared" si="36"/>
        <v>0</v>
      </c>
      <c r="AF36" s="59">
        <f t="shared" si="36"/>
        <v>15732244864.920002</v>
      </c>
      <c r="AG36" s="60">
        <f t="shared" si="36"/>
        <v>2216968843.52</v>
      </c>
      <c r="AH36" s="59">
        <f t="shared" ref="AH36:BI36" si="37">AH29+AH33</f>
        <v>4422866173.8400002</v>
      </c>
      <c r="AI36" s="60">
        <f t="shared" si="37"/>
        <v>8224728440.4099998</v>
      </c>
      <c r="AJ36" s="59">
        <f t="shared" si="37"/>
        <v>867681407.14999998</v>
      </c>
      <c r="AK36" s="59">
        <f t="shared" si="37"/>
        <v>0</v>
      </c>
      <c r="AL36" s="60">
        <f t="shared" si="37"/>
        <v>13816860369.16</v>
      </c>
      <c r="AM36" s="59">
        <f t="shared" si="37"/>
        <v>1386841517.6800001</v>
      </c>
      <c r="AN36" s="60">
        <f t="shared" si="37"/>
        <v>3516272130.4899998</v>
      </c>
      <c r="AO36" s="59">
        <f t="shared" si="37"/>
        <v>8206826920.6000004</v>
      </c>
      <c r="AP36" s="59">
        <f t="shared" si="37"/>
        <v>706919800.38999999</v>
      </c>
      <c r="AQ36" s="60">
        <f t="shared" si="37"/>
        <v>0</v>
      </c>
      <c r="AR36" s="59">
        <f t="shared" si="37"/>
        <v>1915384495.76</v>
      </c>
      <c r="AS36" s="60">
        <f t="shared" si="37"/>
        <v>830127325.84000003</v>
      </c>
      <c r="AT36" s="59">
        <f t="shared" si="37"/>
        <v>906594043.3499999</v>
      </c>
      <c r="AU36" s="60">
        <f t="shared" si="37"/>
        <v>17901519.810000002</v>
      </c>
      <c r="AV36" s="59">
        <f t="shared" si="37"/>
        <v>160761606.75999999</v>
      </c>
      <c r="AW36" s="59">
        <f t="shared" si="37"/>
        <v>0</v>
      </c>
      <c r="AX36" s="324">
        <f t="shared" si="37"/>
        <v>1397623610.1500001</v>
      </c>
      <c r="AY36" s="325">
        <f t="shared" si="37"/>
        <v>674177655.87</v>
      </c>
      <c r="AZ36" s="324">
        <f t="shared" si="37"/>
        <v>564782827.71000004</v>
      </c>
      <c r="BA36" s="325">
        <f t="shared" si="37"/>
        <v>17901519.810000002</v>
      </c>
      <c r="BB36" s="324">
        <f t="shared" si="37"/>
        <v>140761606.75999999</v>
      </c>
      <c r="BC36" s="324">
        <f t="shared" si="37"/>
        <v>0</v>
      </c>
      <c r="BD36" s="324">
        <f t="shared" si="37"/>
        <v>517760885.61000001</v>
      </c>
      <c r="BE36" s="325">
        <f t="shared" si="37"/>
        <v>155949669.97</v>
      </c>
      <c r="BF36" s="324">
        <f t="shared" si="37"/>
        <v>341811215.63999999</v>
      </c>
      <c r="BG36" s="325">
        <f t="shared" si="37"/>
        <v>0</v>
      </c>
      <c r="BH36" s="324">
        <f t="shared" si="37"/>
        <v>20000000</v>
      </c>
      <c r="BI36" s="324">
        <f t="shared" si="37"/>
        <v>0</v>
      </c>
      <c r="BK36" s="1252">
        <f t="shared" si="26"/>
        <v>1169244.2639600001</v>
      </c>
      <c r="BL36" s="1252">
        <f t="shared" si="27"/>
        <v>527274.28888999997</v>
      </c>
    </row>
    <row r="37" spans="1:64" ht="13.8" x14ac:dyDescent="0.25">
      <c r="B37" s="61">
        <f>B36-C36-E36-D36-G36-F36</f>
        <v>0</v>
      </c>
      <c r="E37" s="61"/>
      <c r="H37" s="61">
        <f>H36-I36-K36-J36-M36-L36</f>
        <v>0</v>
      </c>
      <c r="K37" s="61"/>
      <c r="N37" s="61">
        <f>N36-O36-Q36-P36-S36-R36</f>
        <v>0</v>
      </c>
      <c r="Q37" s="61"/>
      <c r="Z37" s="346">
        <f>SUM(AA37:AE37)</f>
        <v>0</v>
      </c>
      <c r="AA37" s="346">
        <f>AA36-'Проверочная  таблица'!D47</f>
        <v>0</v>
      </c>
      <c r="AB37" s="346">
        <f>AB36-'Проверочная  таблица'!AI50</f>
        <v>0</v>
      </c>
      <c r="AC37" s="346">
        <f>AC36-'Проверочная  таблица'!RS49</f>
        <v>0</v>
      </c>
      <c r="AD37" s="346">
        <f>AD36-'Проверочная  таблица'!SW49</f>
        <v>0</v>
      </c>
      <c r="AE37" s="346"/>
      <c r="AF37" s="61">
        <f>AF36-AG36-AI36-AH36-AK36-AJ36</f>
        <v>1.5497207641601563E-6</v>
      </c>
      <c r="AI37" s="61"/>
      <c r="AL37" s="61">
        <f>AL36-AM36-AO36-AN36-AQ36-AP36</f>
        <v>0</v>
      </c>
      <c r="AO37" s="61"/>
      <c r="AR37" s="61">
        <f>AR36-AS36-AU36-AT36-AW36-AV36</f>
        <v>2.384185791015625E-7</v>
      </c>
      <c r="AU37" s="61"/>
      <c r="BD37" s="346">
        <f>SUM(BE37:BI37)</f>
        <v>0</v>
      </c>
      <c r="BE37" s="346">
        <f>BE36-'Проверочная  таблица'!E47</f>
        <v>0</v>
      </c>
      <c r="BF37" s="346">
        <f>BF36-'Проверочная  таблица'!AJ50</f>
        <v>0</v>
      </c>
      <c r="BG37" s="346">
        <f>BG36-'Проверочная  таблица'!RV49</f>
        <v>0</v>
      </c>
      <c r="BH37" s="346">
        <f>BH36-'Проверочная  таблица'!SX43</f>
        <v>0</v>
      </c>
      <c r="BI37" s="346"/>
    </row>
    <row r="38" spans="1:64" s="85" customFormat="1" x14ac:dyDescent="0.25">
      <c r="B38" s="426"/>
      <c r="E38" s="722"/>
      <c r="H38" s="426">
        <f>H36-'Проверочная  таблица'!B45-'Проверочная  таблица'!B44</f>
        <v>0</v>
      </c>
      <c r="N38" s="426">
        <f>N36-'Проверочная  таблица'!B46</f>
        <v>0</v>
      </c>
      <c r="AF38" s="426"/>
      <c r="AL38" s="426">
        <f>AL36-'Проверочная  таблица'!C45-'Проверочная  таблица'!C44</f>
        <v>0</v>
      </c>
      <c r="AR38" s="426">
        <f>AR36-'Проверочная  таблица'!C46</f>
        <v>0</v>
      </c>
    </row>
    <row r="39" spans="1:64" ht="21" customHeight="1" x14ac:dyDescent="0.25">
      <c r="A39" s="62" t="s">
        <v>47</v>
      </c>
      <c r="B39" s="63"/>
      <c r="C39" s="63"/>
      <c r="D39" s="63"/>
      <c r="E39" s="63"/>
      <c r="F39" s="63"/>
      <c r="G39" s="63"/>
      <c r="H39" s="63"/>
      <c r="I39" s="64"/>
      <c r="J39" s="64"/>
      <c r="K39" s="64"/>
      <c r="L39" s="64"/>
      <c r="M39" s="64"/>
      <c r="N39" s="65">
        <f>'Проверочная  таблица'!H37</f>
        <v>623675000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503870361.74999994</v>
      </c>
      <c r="AS39" s="63"/>
      <c r="AT39" s="63"/>
      <c r="AU39" s="63"/>
      <c r="AV39" s="63"/>
      <c r="AW39" s="63"/>
      <c r="AX39" s="63"/>
      <c r="AY39" s="63"/>
      <c r="AZ39" s="63"/>
      <c r="BA39" s="63"/>
      <c r="BB39" s="63"/>
      <c r="BC39" s="63"/>
      <c r="BD39" s="63"/>
      <c r="BE39" s="63"/>
      <c r="BF39" s="63"/>
      <c r="BG39" s="63"/>
      <c r="BH39" s="63"/>
      <c r="BI39" s="63"/>
    </row>
    <row r="40" spans="1:64" ht="21" customHeight="1" x14ac:dyDescent="0.25">
      <c r="A40" s="62" t="s">
        <v>124</v>
      </c>
      <c r="B40" s="63"/>
      <c r="C40" s="63"/>
      <c r="D40" s="63"/>
      <c r="E40" s="63"/>
      <c r="F40" s="63"/>
      <c r="G40" s="63"/>
      <c r="H40" s="63"/>
      <c r="I40" s="64"/>
      <c r="J40" s="64"/>
      <c r="K40" s="64"/>
      <c r="L40" s="64"/>
      <c r="M40" s="64"/>
      <c r="N40" s="65">
        <f>'Проверочная  таблица'!P37</f>
        <v>408612100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314856964.09000003</v>
      </c>
      <c r="AS40" s="63"/>
      <c r="AT40" s="63"/>
      <c r="AU40" s="70"/>
      <c r="AV40" s="70"/>
      <c r="AW40" s="70"/>
      <c r="AX40" s="70"/>
      <c r="AY40" s="70"/>
      <c r="AZ40" s="70"/>
      <c r="BA40" s="70"/>
      <c r="BB40" s="70"/>
      <c r="BC40" s="70"/>
      <c r="BD40" s="70"/>
      <c r="BE40" s="70"/>
      <c r="BF40" s="70"/>
      <c r="BG40" s="70"/>
      <c r="BH40" s="70"/>
      <c r="BI40" s="70"/>
    </row>
    <row r="41" spans="1:64" ht="21" customHeight="1" x14ac:dyDescent="0.25">
      <c r="A41" s="74" t="s">
        <v>33</v>
      </c>
      <c r="B41" s="70"/>
      <c r="C41" s="70"/>
      <c r="D41" s="70"/>
      <c r="E41" s="70"/>
      <c r="F41" s="70"/>
      <c r="G41" s="70"/>
      <c r="H41" s="70"/>
      <c r="I41" s="68"/>
      <c r="J41" s="68"/>
      <c r="K41" s="68"/>
      <c r="L41" s="68"/>
      <c r="M41" s="68"/>
      <c r="N41" s="69">
        <f>'Проверочная  таблица'!AA37</f>
        <v>12000000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11400000</v>
      </c>
      <c r="AS41" s="63"/>
      <c r="AT41" s="63"/>
      <c r="AU41" s="63"/>
      <c r="AV41" s="63"/>
      <c r="AW41" s="63"/>
      <c r="AX41" s="63"/>
      <c r="AY41" s="63"/>
      <c r="AZ41" s="63"/>
      <c r="BA41" s="63"/>
      <c r="BB41" s="63"/>
      <c r="BC41" s="63"/>
      <c r="BD41" s="63"/>
      <c r="BE41" s="63"/>
      <c r="BF41" s="63"/>
      <c r="BG41" s="63"/>
      <c r="BH41" s="63"/>
      <c r="BI41" s="63"/>
    </row>
    <row r="42" spans="1:64" ht="21" customHeight="1" x14ac:dyDescent="0.25">
      <c r="A42" s="74" t="s">
        <v>11</v>
      </c>
      <c r="B42" s="70"/>
      <c r="C42" s="70"/>
      <c r="D42" s="70"/>
      <c r="E42" s="70"/>
      <c r="F42" s="70"/>
      <c r="G42" s="70"/>
      <c r="H42" s="70"/>
      <c r="I42" s="68"/>
      <c r="J42" s="68"/>
      <c r="K42" s="68"/>
      <c r="L42" s="68"/>
      <c r="M42" s="68"/>
      <c r="N42" s="69">
        <f>'Проверочная  таблица'!CQ37</f>
        <v>134332565.03999999</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таблица'!CV37</f>
        <v>59386561.160000004</v>
      </c>
      <c r="AS42" s="70"/>
      <c r="AT42" s="70"/>
      <c r="AU42" s="63"/>
      <c r="AV42" s="63"/>
      <c r="AW42" s="63"/>
      <c r="AX42" s="63"/>
      <c r="AY42" s="63"/>
      <c r="AZ42" s="63"/>
      <c r="BA42" s="63"/>
      <c r="BB42" s="63"/>
      <c r="BC42" s="63"/>
      <c r="BD42" s="63"/>
      <c r="BE42" s="63"/>
      <c r="BF42" s="63"/>
      <c r="BG42" s="63"/>
      <c r="BH42" s="63"/>
      <c r="BI42" s="63"/>
    </row>
    <row r="43" spans="1:64" ht="21" customHeight="1" x14ac:dyDescent="0.25">
      <c r="A43" s="74" t="s">
        <v>329</v>
      </c>
      <c r="B43" s="70"/>
      <c r="C43" s="70"/>
      <c r="D43" s="70"/>
      <c r="E43" s="70"/>
      <c r="F43" s="70"/>
      <c r="G43" s="70"/>
      <c r="H43" s="70"/>
      <c r="I43" s="68"/>
      <c r="J43" s="68"/>
      <c r="K43" s="68"/>
      <c r="L43" s="68"/>
      <c r="M43" s="68"/>
      <c r="N43" s="69">
        <f>'Проверочная  таблица'!AW37</f>
        <v>104550250.45</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таблица'!BC37</f>
        <v>33802185.729999997</v>
      </c>
      <c r="AS43" s="70"/>
      <c r="AT43" s="70"/>
      <c r="AU43" s="63"/>
      <c r="AV43" s="63"/>
      <c r="AW43" s="63"/>
      <c r="AX43" s="63"/>
      <c r="AY43" s="63"/>
      <c r="AZ43" s="63"/>
      <c r="BA43" s="63"/>
      <c r="BB43" s="63"/>
      <c r="BC43" s="63"/>
      <c r="BD43" s="63"/>
      <c r="BE43" s="63"/>
      <c r="BF43" s="63"/>
      <c r="BG43" s="63"/>
      <c r="BH43" s="63"/>
      <c r="BI43" s="63"/>
    </row>
    <row r="44" spans="1:64" ht="21" customHeight="1" x14ac:dyDescent="0.25">
      <c r="A44" s="62" t="s">
        <v>125</v>
      </c>
      <c r="B44" s="63"/>
      <c r="C44" s="63"/>
      <c r="D44" s="63"/>
      <c r="E44" s="63"/>
      <c r="F44" s="63"/>
      <c r="G44" s="63"/>
      <c r="H44" s="63"/>
      <c r="I44" s="64"/>
      <c r="J44" s="64"/>
      <c r="K44" s="64"/>
      <c r="L44" s="64"/>
      <c r="M44" s="64"/>
      <c r="N44" s="65">
        <f>'Проверочная  таблица'!OA30</f>
        <v>0</v>
      </c>
      <c r="O44" s="66"/>
      <c r="P44" s="66"/>
      <c r="Q44" s="66"/>
      <c r="R44" s="66"/>
      <c r="S44" s="66"/>
      <c r="T44" s="66"/>
      <c r="U44" s="66"/>
      <c r="V44" s="66"/>
      <c r="W44" s="66"/>
      <c r="X44" s="66"/>
      <c r="Y44" s="66"/>
      <c r="Z44" s="66"/>
      <c r="AA44" s="66"/>
      <c r="AB44" s="66"/>
      <c r="AC44" s="66"/>
      <c r="AD44" s="66"/>
      <c r="AE44" s="66"/>
      <c r="AF44" s="67"/>
      <c r="AG44" s="67"/>
      <c r="AH44" s="67"/>
      <c r="AI44" s="67"/>
      <c r="AJ44" s="67"/>
      <c r="AK44" s="67"/>
      <c r="AL44" s="64"/>
      <c r="AM44" s="64"/>
      <c r="AN44" s="64"/>
      <c r="AO44" s="64"/>
      <c r="AP44" s="64"/>
      <c r="AQ44" s="64"/>
      <c r="AR44" s="65">
        <f>'Проверочная  таблица'!OD30</f>
        <v>0</v>
      </c>
      <c r="AS44" s="63"/>
      <c r="AT44" s="63"/>
      <c r="AU44" s="63"/>
      <c r="AV44" s="63"/>
      <c r="AW44" s="63"/>
      <c r="AX44" s="63"/>
      <c r="AY44" s="63"/>
      <c r="AZ44" s="63"/>
      <c r="BA44" s="63"/>
      <c r="BB44" s="63"/>
      <c r="BC44" s="63"/>
      <c r="BD44" s="63"/>
      <c r="BE44" s="63"/>
      <c r="BF44" s="63"/>
      <c r="BG44" s="63"/>
      <c r="BH44" s="63"/>
      <c r="BI44" s="63"/>
    </row>
    <row r="45" spans="1:64" ht="33" customHeight="1" x14ac:dyDescent="0.25">
      <c r="A45" s="1683" t="s">
        <v>181</v>
      </c>
      <c r="B45" s="1683"/>
      <c r="C45" s="1683"/>
      <c r="D45" s="1683"/>
      <c r="E45" s="1683"/>
      <c r="F45" s="1683"/>
      <c r="G45" s="1683"/>
      <c r="H45" s="1683"/>
      <c r="I45" s="1683"/>
      <c r="J45" s="1683"/>
      <c r="K45" s="1683"/>
      <c r="L45" s="68"/>
      <c r="M45" s="68"/>
      <c r="N45" s="69">
        <f>'Проверочная  таблица'!DG37</f>
        <v>50673367.840000004</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8"/>
      <c r="AQ45" s="68"/>
      <c r="AR45" s="69">
        <f>'Проверочная  таблица'!DH37</f>
        <v>25988724.43</v>
      </c>
      <c r="AS45" s="70"/>
      <c r="AT45" s="70"/>
      <c r="AU45" s="70"/>
      <c r="AV45" s="63"/>
      <c r="AW45" s="63"/>
      <c r="AX45" s="63"/>
      <c r="AY45" s="63"/>
      <c r="AZ45" s="63"/>
      <c r="BA45" s="63"/>
      <c r="BB45" s="63"/>
      <c r="BC45" s="63"/>
      <c r="BD45" s="63"/>
      <c r="BE45" s="63"/>
      <c r="BF45" s="63"/>
      <c r="BG45" s="63"/>
      <c r="BH45" s="63"/>
      <c r="BI45" s="63"/>
    </row>
    <row r="46" spans="1:64" ht="21" customHeight="1" x14ac:dyDescent="0.25">
      <c r="A46" s="74" t="s">
        <v>8</v>
      </c>
      <c r="B46" s="70"/>
      <c r="C46" s="70"/>
      <c r="D46" s="70"/>
      <c r="E46" s="70"/>
      <c r="F46" s="70"/>
      <c r="G46" s="70"/>
      <c r="H46" s="70"/>
      <c r="I46" s="68"/>
      <c r="J46" s="68"/>
      <c r="K46" s="68"/>
      <c r="L46" s="68"/>
      <c r="M46" s="68"/>
      <c r="N46" s="69">
        <f>'Проверочная  таблица'!DO37</f>
        <v>2667019.3600000003</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таблица'!DP37</f>
        <v>1367827.6099999999</v>
      </c>
      <c r="AS46" s="63"/>
      <c r="AT46" s="63"/>
      <c r="AU46" s="63"/>
      <c r="AV46" s="63"/>
      <c r="AW46" s="70"/>
      <c r="AX46" s="70"/>
      <c r="AY46" s="70"/>
      <c r="AZ46" s="70"/>
      <c r="BA46" s="70"/>
      <c r="BB46" s="70"/>
      <c r="BC46" s="70"/>
      <c r="BD46" s="70"/>
      <c r="BE46" s="70"/>
      <c r="BF46" s="70"/>
      <c r="BG46" s="70"/>
      <c r="BH46" s="70"/>
      <c r="BI46" s="70"/>
    </row>
    <row r="47" spans="1:64" ht="21" customHeight="1" x14ac:dyDescent="0.25">
      <c r="A47" s="62" t="s">
        <v>276</v>
      </c>
      <c r="B47" s="63"/>
      <c r="C47" s="63"/>
      <c r="D47" s="63"/>
      <c r="E47" s="63"/>
      <c r="F47" s="63"/>
      <c r="G47" s="63"/>
      <c r="H47" s="63"/>
      <c r="I47" s="64"/>
      <c r="J47" s="64"/>
      <c r="K47" s="64"/>
      <c r="L47" s="64"/>
      <c r="M47" s="64"/>
      <c r="N47" s="65">
        <f>'Проверочная  таблица'!HW37</f>
        <v>61952403.710000001</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таблица'!IF37</f>
        <v>11375842.719999999</v>
      </c>
      <c r="AS47" s="63"/>
      <c r="AT47" s="63"/>
      <c r="AU47" s="63"/>
      <c r="AV47" s="63"/>
      <c r="AW47" s="63"/>
      <c r="AX47" s="63"/>
      <c r="AY47" s="63"/>
      <c r="AZ47" s="63"/>
      <c r="BA47" s="63"/>
      <c r="BB47" s="63"/>
      <c r="BC47" s="63"/>
      <c r="BD47" s="63"/>
      <c r="BE47" s="63"/>
      <c r="BF47" s="63"/>
      <c r="BG47" s="63"/>
      <c r="BH47" s="63"/>
      <c r="BI47" s="63"/>
    </row>
    <row r="48" spans="1:64" ht="21" customHeight="1" x14ac:dyDescent="0.25">
      <c r="A48" s="62" t="s">
        <v>703</v>
      </c>
      <c r="B48" s="63"/>
      <c r="C48" s="63"/>
      <c r="D48" s="63"/>
      <c r="E48" s="63"/>
      <c r="F48" s="63"/>
      <c r="G48" s="63"/>
      <c r="H48" s="63"/>
      <c r="I48" s="64"/>
      <c r="J48" s="64"/>
      <c r="K48" s="64"/>
      <c r="L48" s="64"/>
      <c r="M48" s="64"/>
      <c r="N48" s="65">
        <f>'Проверочная  таблица'!EK37</f>
        <v>421875</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таблица'!EM37</f>
        <v>421875</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421</v>
      </c>
      <c r="B49" s="63"/>
      <c r="C49" s="63"/>
      <c r="D49" s="63"/>
      <c r="E49" s="63"/>
      <c r="F49" s="63"/>
      <c r="G49" s="63"/>
      <c r="H49" s="63"/>
      <c r="I49" s="64"/>
      <c r="J49" s="64"/>
      <c r="K49" s="64"/>
      <c r="L49" s="64"/>
      <c r="M49" s="64"/>
      <c r="N49" s="65">
        <f>'Проверочная  таблица'!KU37</f>
        <v>4899457.66</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таблица'!KY37</f>
        <v>4899457.66</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278</v>
      </c>
      <c r="B50" s="63"/>
      <c r="C50" s="63"/>
      <c r="D50" s="63"/>
      <c r="E50" s="63"/>
      <c r="F50" s="63"/>
      <c r="G50" s="63"/>
      <c r="H50" s="63"/>
      <c r="I50" s="64"/>
      <c r="J50" s="64"/>
      <c r="K50" s="64"/>
      <c r="L50" s="64"/>
      <c r="M50" s="64"/>
      <c r="N50" s="65">
        <f>'Проверочная  таблица'!LU37</f>
        <v>57996105.259999998</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таблица'!LZ37</f>
        <v>33203340.259999998</v>
      </c>
      <c r="AS50" s="63"/>
      <c r="AT50" s="63"/>
      <c r="AU50" s="63"/>
      <c r="AV50" s="63"/>
      <c r="AW50" s="63"/>
      <c r="AX50" s="63"/>
      <c r="AY50" s="63"/>
      <c r="AZ50" s="63"/>
      <c r="BA50" s="63"/>
      <c r="BB50" s="63"/>
      <c r="BC50" s="63"/>
      <c r="BD50" s="63"/>
      <c r="BE50" s="63"/>
      <c r="BF50" s="63"/>
      <c r="BG50" s="63"/>
      <c r="BH50" s="63"/>
      <c r="BI50" s="63"/>
    </row>
    <row r="51" spans="1:61" ht="21" customHeight="1" x14ac:dyDescent="0.25">
      <c r="A51" s="644" t="s">
        <v>277</v>
      </c>
      <c r="B51" s="63"/>
      <c r="C51" s="63"/>
      <c r="D51" s="63"/>
      <c r="E51" s="63"/>
      <c r="F51" s="63"/>
      <c r="G51" s="63"/>
      <c r="H51" s="63"/>
      <c r="I51" s="64"/>
      <c r="J51" s="64"/>
      <c r="K51" s="64"/>
      <c r="L51" s="64"/>
      <c r="M51" s="64"/>
      <c r="N51" s="65">
        <f>'Проверочная  таблица'!GG37</f>
        <v>12743934</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таблица'!GJ37</f>
        <v>11901339.42</v>
      </c>
      <c r="AS51" s="63"/>
      <c r="AT51" s="63"/>
      <c r="AU51" s="63"/>
      <c r="AV51" s="63"/>
      <c r="AW51" s="63"/>
      <c r="AX51" s="63"/>
      <c r="AY51" s="63"/>
      <c r="AZ51" s="63"/>
      <c r="BA51" s="63"/>
      <c r="BB51" s="63"/>
      <c r="BC51" s="63"/>
      <c r="BD51" s="63"/>
      <c r="BE51" s="63"/>
      <c r="BF51" s="63"/>
      <c r="BG51" s="63"/>
      <c r="BH51" s="63"/>
      <c r="BI51" s="63"/>
    </row>
    <row r="52" spans="1:61" ht="21" customHeight="1" x14ac:dyDescent="0.25">
      <c r="A52" s="74" t="s">
        <v>382</v>
      </c>
      <c r="B52" s="70"/>
      <c r="C52" s="70"/>
      <c r="D52" s="70"/>
      <c r="E52" s="70"/>
      <c r="F52" s="70"/>
      <c r="G52" s="70"/>
      <c r="H52" s="70"/>
      <c r="I52" s="68"/>
      <c r="J52" s="68"/>
      <c r="K52" s="68"/>
      <c r="L52" s="68"/>
      <c r="M52" s="68"/>
      <c r="N52" s="69">
        <f>'Проверочная  таблица'!NC37</f>
        <v>2345555.56</v>
      </c>
      <c r="O52" s="75"/>
      <c r="P52" s="75"/>
      <c r="Q52" s="75"/>
      <c r="R52" s="75"/>
      <c r="S52" s="75"/>
      <c r="T52" s="75"/>
      <c r="U52" s="75"/>
      <c r="V52" s="75"/>
      <c r="W52" s="75"/>
      <c r="X52" s="75"/>
      <c r="Y52" s="75"/>
      <c r="Z52" s="75"/>
      <c r="AA52" s="75"/>
      <c r="AB52" s="75"/>
      <c r="AC52" s="75"/>
      <c r="AD52" s="75"/>
      <c r="AE52" s="75"/>
      <c r="AF52" s="76"/>
      <c r="AG52" s="76"/>
      <c r="AH52" s="76"/>
      <c r="AI52" s="76"/>
      <c r="AJ52" s="76"/>
      <c r="AK52" s="76"/>
      <c r="AL52" s="68"/>
      <c r="AM52" s="68"/>
      <c r="AN52" s="68"/>
      <c r="AO52" s="68"/>
      <c r="AP52" s="68"/>
      <c r="AQ52" s="68"/>
      <c r="AR52" s="69">
        <f>'Проверочная  таблица'!NF37</f>
        <v>1939980.82</v>
      </c>
      <c r="AS52" s="70"/>
      <c r="AT52" s="70"/>
      <c r="AU52" s="63"/>
      <c r="AV52" s="63"/>
      <c r="AW52" s="63"/>
      <c r="AX52" s="63"/>
      <c r="AY52" s="63"/>
      <c r="AZ52" s="63"/>
      <c r="BA52" s="63"/>
      <c r="BB52" s="63"/>
      <c r="BC52" s="63"/>
      <c r="BD52" s="63"/>
      <c r="BE52" s="63"/>
      <c r="BF52" s="63"/>
      <c r="BG52" s="63"/>
      <c r="BH52" s="63"/>
    </row>
    <row r="53" spans="1:61" ht="21" customHeight="1" x14ac:dyDescent="0.25">
      <c r="A53" s="74" t="s">
        <v>698</v>
      </c>
      <c r="B53" s="70"/>
      <c r="C53" s="70"/>
      <c r="D53" s="70"/>
      <c r="E53" s="70"/>
      <c r="F53" s="70"/>
      <c r="G53" s="70"/>
      <c r="H53" s="70"/>
      <c r="I53" s="68"/>
      <c r="J53" s="68"/>
      <c r="K53" s="68"/>
      <c r="L53" s="68"/>
      <c r="M53" s="68"/>
      <c r="N53" s="69">
        <f>'Проверочная  таблица'!PG37</f>
        <v>47263275.420000002</v>
      </c>
      <c r="O53" s="75"/>
      <c r="P53" s="75"/>
      <c r="Q53" s="75"/>
      <c r="R53" s="75"/>
      <c r="S53" s="75"/>
      <c r="T53" s="75"/>
      <c r="U53" s="75"/>
      <c r="V53" s="75"/>
      <c r="W53" s="75"/>
      <c r="X53" s="75"/>
      <c r="Y53" s="75"/>
      <c r="Z53" s="75"/>
      <c r="AA53" s="75"/>
      <c r="AB53" s="75"/>
      <c r="AC53" s="75"/>
      <c r="AD53" s="75"/>
      <c r="AE53" s="75"/>
      <c r="AF53" s="76"/>
      <c r="AG53" s="76"/>
      <c r="AH53" s="76"/>
      <c r="AI53" s="76"/>
      <c r="AJ53" s="76"/>
      <c r="AK53" s="76"/>
      <c r="AL53" s="68"/>
      <c r="AM53" s="68"/>
      <c r="AN53" s="68"/>
      <c r="AO53" s="68"/>
      <c r="AP53" s="68"/>
      <c r="AQ53" s="68"/>
      <c r="AR53" s="69">
        <f>'Проверочная  таблица'!PP37</f>
        <v>38172943.210000001</v>
      </c>
      <c r="AS53" s="70"/>
      <c r="AT53" s="70"/>
      <c r="AU53" s="72"/>
      <c r="AV53" s="72"/>
      <c r="AW53" s="72"/>
    </row>
    <row r="54" spans="1:61" ht="21" customHeight="1" x14ac:dyDescent="0.25">
      <c r="A54" s="62" t="s">
        <v>177</v>
      </c>
      <c r="B54" s="63"/>
      <c r="C54" s="63"/>
      <c r="D54" s="63"/>
      <c r="E54" s="63"/>
      <c r="F54" s="63"/>
      <c r="G54" s="63"/>
      <c r="H54" s="63"/>
      <c r="I54" s="64"/>
      <c r="J54" s="64"/>
      <c r="K54" s="64"/>
      <c r="L54" s="64"/>
      <c r="M54" s="64"/>
      <c r="N54" s="65">
        <f>'Проверочная  таблица'!RM37</f>
        <v>979171243.55000019</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таблица'!RN37</f>
        <v>684133965.33000004</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178</v>
      </c>
      <c r="B55" s="63"/>
      <c r="C55" s="63"/>
      <c r="D55" s="63"/>
      <c r="E55" s="63"/>
      <c r="F55" s="63"/>
      <c r="G55" s="63"/>
      <c r="H55" s="63"/>
      <c r="I55" s="64"/>
      <c r="J55" s="64"/>
      <c r="K55" s="64"/>
      <c r="L55" s="64"/>
      <c r="M55" s="64"/>
      <c r="N55" s="65">
        <f>'Проверочная  таблица'!SE37</f>
        <v>27501500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таблица'!SF37</f>
        <v>17901519.810000002</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330</v>
      </c>
      <c r="B56" s="73"/>
      <c r="C56" s="73"/>
      <c r="D56" s="73"/>
      <c r="E56" s="73"/>
      <c r="F56" s="73"/>
      <c r="G56" s="73"/>
      <c r="H56" s="73"/>
      <c r="I56" s="71"/>
      <c r="J56" s="71"/>
      <c r="K56" s="71"/>
      <c r="L56" s="71"/>
      <c r="M56" s="71"/>
      <c r="N56" s="78">
        <f>'Проверочная  таблица'!TU37+'Проверочная  таблица'!UI37</f>
        <v>210000000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таблица'!TW37+'Проверочная  таблица'!UL37</f>
        <v>160761606.75999999</v>
      </c>
      <c r="AS56" s="73"/>
      <c r="AT56" s="73"/>
      <c r="AU56" s="73"/>
      <c r="AV56" s="73"/>
      <c r="AW56" s="63"/>
      <c r="AX56" s="63"/>
      <c r="AY56" s="63"/>
      <c r="AZ56" s="63"/>
      <c r="BA56" s="63"/>
      <c r="BB56" s="63"/>
      <c r="BC56" s="63"/>
      <c r="BD56" s="63"/>
      <c r="BE56" s="63"/>
      <c r="BF56" s="63"/>
      <c r="BG56" s="63"/>
      <c r="BH56" s="63"/>
      <c r="BI56" s="63"/>
    </row>
    <row r="57" spans="1:61" ht="21" customHeight="1" x14ac:dyDescent="0.25">
      <c r="A57" s="77" t="s">
        <v>183</v>
      </c>
      <c r="B57" s="73"/>
      <c r="C57" s="73"/>
      <c r="D57" s="73"/>
      <c r="E57" s="73"/>
      <c r="F57" s="73"/>
      <c r="G57" s="73"/>
      <c r="H57" s="73"/>
      <c r="I57" s="71"/>
      <c r="J57" s="71"/>
      <c r="K57" s="71"/>
      <c r="L57" s="71"/>
      <c r="M57" s="71"/>
      <c r="N57" s="78">
        <f>'Проверочная  таблица'!VC37</f>
        <v>0</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таблица'!VE37</f>
        <v>0</v>
      </c>
      <c r="AS57" s="73"/>
      <c r="AT57" s="73"/>
      <c r="AU57" s="73"/>
      <c r="AV57" s="73"/>
      <c r="AW57" s="63"/>
      <c r="AX57" s="63"/>
      <c r="AY57" s="63"/>
      <c r="AZ57" s="63"/>
      <c r="BA57" s="63"/>
      <c r="BB57" s="63"/>
      <c r="BC57" s="63"/>
      <c r="BD57" s="63"/>
      <c r="BE57" s="63"/>
      <c r="BF57" s="63"/>
      <c r="BG57" s="63"/>
      <c r="BH57" s="63"/>
      <c r="BI57" s="63"/>
    </row>
    <row r="58" spans="1:61" ht="21" customHeight="1" x14ac:dyDescent="0.3">
      <c r="A58" s="81" t="s">
        <v>179</v>
      </c>
      <c r="B58" s="82"/>
      <c r="C58" s="82"/>
      <c r="D58" s="82"/>
      <c r="E58" s="82"/>
      <c r="F58" s="82"/>
      <c r="G58" s="82"/>
      <c r="H58" s="82"/>
      <c r="I58" s="81"/>
      <c r="J58" s="81"/>
      <c r="K58" s="81"/>
      <c r="L58" s="81"/>
      <c r="M58" s="81"/>
      <c r="N58" s="83">
        <f>SUM(N39:N57)-N36</f>
        <v>0</v>
      </c>
      <c r="O58" s="83"/>
      <c r="P58" s="83"/>
      <c r="Q58" s="83"/>
      <c r="R58" s="83"/>
      <c r="S58" s="83"/>
      <c r="T58" s="83"/>
      <c r="U58" s="83"/>
      <c r="V58" s="83"/>
      <c r="W58" s="83"/>
      <c r="X58" s="83"/>
      <c r="Y58" s="83"/>
      <c r="Z58" s="83"/>
      <c r="AA58" s="83"/>
      <c r="AB58" s="83"/>
      <c r="AC58" s="83"/>
      <c r="AD58" s="83"/>
      <c r="AE58" s="83"/>
      <c r="AF58" s="82"/>
      <c r="AG58" s="82"/>
      <c r="AH58" s="82"/>
      <c r="AI58" s="82"/>
      <c r="AJ58" s="82"/>
      <c r="AK58" s="82"/>
      <c r="AL58" s="81"/>
      <c r="AM58" s="81"/>
      <c r="AN58" s="81"/>
      <c r="AO58" s="81"/>
      <c r="AP58" s="81"/>
      <c r="AQ58" s="81"/>
      <c r="AR58" s="83">
        <f>SUM(AR39:AR57)-AR36</f>
        <v>0</v>
      </c>
      <c r="AS58" s="82"/>
      <c r="AT58" s="82"/>
      <c r="AU58" s="82"/>
      <c r="AV58" s="82"/>
      <c r="AW58" s="84"/>
    </row>
    <row r="62" spans="1:61" s="85" customFormat="1" ht="15.6" x14ac:dyDescent="0.3">
      <c r="B62" s="1185" t="s">
        <v>645</v>
      </c>
      <c r="C62" s="1185" t="s">
        <v>646</v>
      </c>
      <c r="D62" s="1186" t="s">
        <v>647</v>
      </c>
      <c r="E62" s="1186" t="s">
        <v>648</v>
      </c>
      <c r="F62" s="1186" t="s">
        <v>649</v>
      </c>
      <c r="H62" s="1186" t="s">
        <v>650</v>
      </c>
      <c r="I62" s="1186" t="s">
        <v>651</v>
      </c>
      <c r="J62" s="1186" t="s">
        <v>652</v>
      </c>
      <c r="K62" s="1186" t="s">
        <v>653</v>
      </c>
      <c r="L62" s="1186" t="s">
        <v>654</v>
      </c>
      <c r="N62" s="426"/>
      <c r="AF62" s="426"/>
      <c r="AL62" s="426"/>
      <c r="AR62" s="426"/>
    </row>
    <row r="63" spans="1:61" s="85" customFormat="1" ht="15.6" x14ac:dyDescent="0.3">
      <c r="A63" s="1187" t="s">
        <v>655</v>
      </c>
      <c r="B63" s="1194">
        <f>D63+F63+I63+K63</f>
        <v>22292367.263529997</v>
      </c>
      <c r="C63" s="1194">
        <f>E63+H63+J63+L63</f>
        <v>15732244.86492</v>
      </c>
      <c r="D63" s="1195">
        <f>H33/1000</f>
        <v>11015704.873799998</v>
      </c>
      <c r="E63" s="1195">
        <f>AL33/1000</f>
        <v>7025005.6885600006</v>
      </c>
      <c r="F63" s="1195">
        <f>H29/1000</f>
        <v>8535856.7368799988</v>
      </c>
      <c r="G63" s="1196"/>
      <c r="H63" s="1195">
        <f>AL29/1000</f>
        <v>6791854.6805999996</v>
      </c>
      <c r="I63" s="1195">
        <f>Z36/1000</f>
        <v>706965.18888999999</v>
      </c>
      <c r="J63" s="1195">
        <f>BD36/1000</f>
        <v>517760.88561</v>
      </c>
      <c r="K63" s="1195">
        <f>T36/1000</f>
        <v>2033840.4639599998</v>
      </c>
      <c r="L63" s="1195">
        <f>AX36/1000</f>
        <v>1397623.6101500001</v>
      </c>
      <c r="N63" s="426"/>
      <c r="AF63" s="426"/>
      <c r="AL63" s="426"/>
      <c r="AR63" s="426"/>
    </row>
    <row r="64" spans="1:61" s="85" customFormat="1" x14ac:dyDescent="0.25">
      <c r="A64" s="1189"/>
      <c r="B64" s="1197"/>
      <c r="C64" s="1197"/>
      <c r="D64" s="1198"/>
      <c r="E64" s="1198"/>
      <c r="F64" s="1198"/>
      <c r="G64" s="1196"/>
      <c r="H64" s="1198"/>
      <c r="I64" s="1198"/>
      <c r="J64" s="1198"/>
      <c r="K64" s="1198"/>
      <c r="L64" s="1198"/>
      <c r="N64" s="426"/>
      <c r="AF64" s="426"/>
      <c r="AL64" s="426"/>
      <c r="AR64" s="426"/>
    </row>
    <row r="65" spans="1:44" s="85" customFormat="1" ht="15.6" x14ac:dyDescent="0.3">
      <c r="A65" s="1187" t="s">
        <v>656</v>
      </c>
      <c r="B65" s="1194">
        <f>D65+F65+I65+K65</f>
        <v>2754734.5</v>
      </c>
      <c r="C65" s="1194">
        <f>E65+H65+J65+L65</f>
        <v>2216968.8435200001</v>
      </c>
      <c r="D65" s="1195">
        <f>I33/1000</f>
        <v>909746.78300000005</v>
      </c>
      <c r="E65" s="1195">
        <f>AM33/1000</f>
        <v>727871.84100000001</v>
      </c>
      <c r="F65" s="1195">
        <f>I29/1000</f>
        <v>800700.61699999997</v>
      </c>
      <c r="G65" s="1196"/>
      <c r="H65" s="1195">
        <f>AM29/1000</f>
        <v>658969.67668000003</v>
      </c>
      <c r="I65" s="1195">
        <f>AA36/1000</f>
        <v>179690.9</v>
      </c>
      <c r="J65" s="1195">
        <f>BE36/1000</f>
        <v>155949.66996999999</v>
      </c>
      <c r="K65" s="1195">
        <f>U36/1000</f>
        <v>864596.2</v>
      </c>
      <c r="L65" s="1195">
        <f>AY36/1000</f>
        <v>674177.65587000002</v>
      </c>
      <c r="N65" s="426"/>
      <c r="AF65" s="426"/>
      <c r="AL65" s="426"/>
      <c r="AR65" s="426"/>
    </row>
    <row r="66" spans="1:44" s="85" customFormat="1" ht="15.6" x14ac:dyDescent="0.3">
      <c r="A66" s="1187" t="s">
        <v>669</v>
      </c>
      <c r="B66" s="1194">
        <f>D66+F66+I66+K66</f>
        <v>1788429.9</v>
      </c>
      <c r="C66" s="1194">
        <f>E66+H66+J66+L66</f>
        <v>1462675.1930800001</v>
      </c>
      <c r="D66" s="1199">
        <f>'Проверочная  таблица'!F34/1000</f>
        <v>613969.69999999995</v>
      </c>
      <c r="E66" s="1199">
        <f>'Проверочная  таблица'!G34/1000</f>
        <v>480227.27</v>
      </c>
      <c r="F66" s="1199">
        <f>'Проверочная  таблица'!F30/1000</f>
        <v>550785.19999999995</v>
      </c>
      <c r="G66" s="1199"/>
      <c r="H66" s="1199">
        <f>'Проверочная  таблица'!G30/1000</f>
        <v>478577.56133</v>
      </c>
      <c r="I66" s="1199">
        <f>'Проверочная  таблица'!L37/1000</f>
        <v>131946.70000000001</v>
      </c>
      <c r="J66" s="1199">
        <f>'Проверочная  таблица'!M37/1000</f>
        <v>122707.44500000001</v>
      </c>
      <c r="K66" s="1199">
        <f>'Проверочная  таблица'!J37/1000</f>
        <v>491728.3</v>
      </c>
      <c r="L66" s="1199">
        <f>'Проверочная  таблица'!K37/1000</f>
        <v>381162.91674999997</v>
      </c>
      <c r="M66" s="1188">
        <f>'[3]Проверочная  таблица'!L37/1000</f>
        <v>132564.29999999999</v>
      </c>
      <c r="N66" s="426"/>
      <c r="AF66" s="426"/>
      <c r="AL66" s="426"/>
      <c r="AR66" s="426"/>
    </row>
    <row r="67" spans="1:44" s="85" customFormat="1" ht="15.6" x14ac:dyDescent="0.3">
      <c r="A67" s="1187" t="s">
        <v>670</v>
      </c>
      <c r="B67" s="1194">
        <f>D67+F67+I67+K67</f>
        <v>936304.6</v>
      </c>
      <c r="C67" s="1194">
        <f>E67+H67+J67+L67</f>
        <v>729617.74444000004</v>
      </c>
      <c r="D67" s="1199">
        <f>'Проверочная  таблица'!N34/1000</f>
        <v>293977.08299999998</v>
      </c>
      <c r="E67" s="1199">
        <f>'Проверочная  таблица'!O34/1000</f>
        <v>247044.571</v>
      </c>
      <c r="F67" s="1199">
        <f>'Проверочная  таблица'!N30/1000</f>
        <v>233715.41699999999</v>
      </c>
      <c r="G67" s="1199"/>
      <c r="H67" s="1199">
        <f>'Проверочная  таблица'!O30/1000</f>
        <v>167716.20934999999</v>
      </c>
      <c r="I67" s="1199">
        <f>'Проверочная  таблица'!T30/1000</f>
        <v>41744.199999999997</v>
      </c>
      <c r="J67" s="1199">
        <f>'Проверочная  таблица'!U30/1000</f>
        <v>27242.224969999999</v>
      </c>
      <c r="K67" s="1199">
        <f>'Проверочная  таблица'!R30/1000</f>
        <v>366867.9</v>
      </c>
      <c r="L67" s="1199">
        <f>'Проверочная  таблица'!S30/1000</f>
        <v>287614.73911999998</v>
      </c>
      <c r="M67" s="1188">
        <f>'[3]Проверочная  таблица'!T30/1000</f>
        <v>15020</v>
      </c>
      <c r="N67" s="426"/>
      <c r="AF67" s="426"/>
      <c r="AL67" s="426"/>
      <c r="AR67" s="426"/>
    </row>
    <row r="68" spans="1:44" s="85" customFormat="1" ht="15.6" x14ac:dyDescent="0.3">
      <c r="A68" s="1187" t="s">
        <v>671</v>
      </c>
      <c r="B68" s="1194">
        <f>B65-B66-B67</f>
        <v>30000.000000000116</v>
      </c>
      <c r="C68" s="1194">
        <f t="shared" ref="C68:G68" si="38">C65-C66-C67</f>
        <v>24675.905999999959</v>
      </c>
      <c r="D68" s="1199">
        <f t="shared" si="38"/>
        <v>1800.0000000001164</v>
      </c>
      <c r="E68" s="1199">
        <f t="shared" si="38"/>
        <v>600</v>
      </c>
      <c r="F68" s="1199">
        <f t="shared" si="38"/>
        <v>16200.000000000029</v>
      </c>
      <c r="G68" s="1199">
        <f t="shared" si="38"/>
        <v>0</v>
      </c>
      <c r="H68" s="1199">
        <f>H65-H66-H67</f>
        <v>12675.906000000046</v>
      </c>
      <c r="I68" s="1199">
        <f>I65-I66-I67</f>
        <v>5999.9999999999854</v>
      </c>
      <c r="J68" s="1199">
        <f>J65-J66-J67</f>
        <v>5999.9999999999818</v>
      </c>
      <c r="K68" s="1199">
        <f>K65-K66-K67</f>
        <v>5999.9999999999418</v>
      </c>
      <c r="L68" s="1199">
        <f>L65-L66-L67</f>
        <v>5400.0000000000582</v>
      </c>
      <c r="N68" s="426"/>
      <c r="AF68" s="426"/>
      <c r="AL68" s="426"/>
      <c r="AR68" s="426"/>
    </row>
    <row r="69" spans="1:44" s="85" customFormat="1" x14ac:dyDescent="0.25">
      <c r="A69" s="1189"/>
      <c r="B69" s="1197"/>
      <c r="C69" s="1197"/>
      <c r="D69" s="1198"/>
      <c r="E69" s="1198"/>
      <c r="F69" s="1198"/>
      <c r="G69" s="1196"/>
      <c r="H69" s="1198"/>
      <c r="I69" s="1198"/>
      <c r="J69" s="1198"/>
      <c r="K69" s="1198"/>
      <c r="L69" s="1198"/>
      <c r="N69" s="426"/>
      <c r="AF69" s="426"/>
      <c r="AL69" s="426"/>
      <c r="AR69" s="426"/>
    </row>
    <row r="70" spans="1:44" s="85" customFormat="1" ht="15.6" x14ac:dyDescent="0.3">
      <c r="A70" s="1187" t="s">
        <v>657</v>
      </c>
      <c r="B70" s="1194">
        <f>D70+F70+I70+K70</f>
        <v>7503927.2414800003</v>
      </c>
      <c r="C70" s="1194">
        <f>E70+H70+J70+L70</f>
        <v>4422866.1738400003</v>
      </c>
      <c r="D70" s="1195">
        <f>J33/1000</f>
        <v>3935882.0887500001</v>
      </c>
      <c r="E70" s="1195">
        <f>AN33/1000</f>
        <v>1841663.7871700001</v>
      </c>
      <c r="F70" s="1195">
        <f>J29/1000</f>
        <v>2109028.0998799996</v>
      </c>
      <c r="G70" s="1196"/>
      <c r="H70" s="1195">
        <f>AN29/1000</f>
        <v>1674608.3433199998</v>
      </c>
      <c r="I70" s="1195">
        <f>AB36/1000</f>
        <v>507274.28888999997</v>
      </c>
      <c r="J70" s="1195">
        <f>BF36/1000</f>
        <v>341811.21564000001</v>
      </c>
      <c r="K70" s="1195">
        <f>V36/1000</f>
        <v>951742.76396000001</v>
      </c>
      <c r="L70" s="1195">
        <f>AZ36/1000</f>
        <v>564782.82770999998</v>
      </c>
      <c r="N70" s="426"/>
      <c r="AF70" s="426"/>
      <c r="AL70" s="426"/>
      <c r="AR70" s="426"/>
    </row>
    <row r="71" spans="1:44" s="85" customFormat="1" x14ac:dyDescent="0.25">
      <c r="A71" s="1189"/>
      <c r="B71" s="1197"/>
      <c r="C71" s="1197"/>
      <c r="D71" s="1198"/>
      <c r="E71" s="1198"/>
      <c r="F71" s="1198"/>
      <c r="G71" s="1196"/>
      <c r="H71" s="1198"/>
      <c r="I71" s="1198"/>
      <c r="J71" s="1198"/>
      <c r="K71" s="1198"/>
      <c r="L71" s="1198"/>
      <c r="N71" s="426"/>
      <c r="AF71" s="426"/>
      <c r="AL71" s="426"/>
      <c r="AR71" s="426"/>
    </row>
    <row r="72" spans="1:44" s="85" customFormat="1" ht="15.6" x14ac:dyDescent="0.3">
      <c r="A72" s="1187" t="s">
        <v>672</v>
      </c>
      <c r="B72" s="1194">
        <f>D72+F72+I72+K72</f>
        <v>2284003.2643599999</v>
      </c>
      <c r="C72" s="1194">
        <f>E72+H72+J72+L72</f>
        <v>1386038.67821</v>
      </c>
      <c r="D72" s="1195">
        <f>'Проверочная  таблица'!D55</f>
        <v>1548683.12041</v>
      </c>
      <c r="E72" s="1195">
        <f>'Проверочная  таблица'!E55</f>
        <v>888291.55782999995</v>
      </c>
      <c r="F72" s="1195">
        <f>'Проверочная  таблица'!D54</f>
        <v>503233.81107000005</v>
      </c>
      <c r="G72" s="1196"/>
      <c r="H72" s="1195">
        <f>'Проверочная  таблица'!E54</f>
        <v>375838.22625999997</v>
      </c>
      <c r="I72" s="1195">
        <f>'Проверочная  таблица'!D60</f>
        <v>130306.66243000001</v>
      </c>
      <c r="J72" s="1195">
        <f>'Проверочная  таблица'!E60</f>
        <v>88593.827269999994</v>
      </c>
      <c r="K72" s="1195">
        <f>'Проверочная  таблица'!D59</f>
        <v>101779.67045000001</v>
      </c>
      <c r="L72" s="1195">
        <f>'Проверочная  таблица'!E59</f>
        <v>33315.066850000003</v>
      </c>
      <c r="N72" s="426"/>
      <c r="AF72" s="426"/>
      <c r="AL72" s="426"/>
      <c r="AR72" s="426"/>
    </row>
    <row r="73" spans="1:44" s="85" customFormat="1" x14ac:dyDescent="0.25">
      <c r="A73" s="1189"/>
      <c r="B73" s="1197"/>
      <c r="C73" s="1197"/>
      <c r="D73" s="1198"/>
      <c r="E73" s="1198"/>
      <c r="F73" s="1198"/>
      <c r="G73" s="1196"/>
      <c r="H73" s="1198"/>
      <c r="I73" s="1198"/>
      <c r="J73" s="1198"/>
      <c r="K73" s="1198"/>
      <c r="L73" s="1198"/>
      <c r="N73" s="426"/>
      <c r="AF73" s="426"/>
      <c r="AL73" s="426"/>
      <c r="AR73" s="426"/>
    </row>
    <row r="74" spans="1:44" s="85" customFormat="1" ht="15.6" x14ac:dyDescent="0.3">
      <c r="A74" s="1187" t="s">
        <v>658</v>
      </c>
      <c r="B74" s="1194">
        <f>D74+F74+I74+K74</f>
        <v>10670853.030999999</v>
      </c>
      <c r="C74" s="1194">
        <f>E74+H74+J74+L74</f>
        <v>8224728.4404100003</v>
      </c>
      <c r="D74" s="1195">
        <f>K33/1000</f>
        <v>5017223.5109999999</v>
      </c>
      <c r="E74" s="1195">
        <f>AO33/1000</f>
        <v>3748550.26</v>
      </c>
      <c r="F74" s="1195">
        <f>K29/1000</f>
        <v>5626128.0199999996</v>
      </c>
      <c r="G74" s="1196"/>
      <c r="H74" s="1195">
        <f>AO29/1000</f>
        <v>4458276.6606000001</v>
      </c>
      <c r="I74" s="1195"/>
      <c r="J74" s="1195"/>
      <c r="K74" s="1195">
        <f>W36/1000</f>
        <v>27501.5</v>
      </c>
      <c r="L74" s="1195">
        <f>BA36/1000</f>
        <v>17901.519810000002</v>
      </c>
      <c r="N74" s="426"/>
      <c r="AF74" s="426"/>
      <c r="AL74" s="426"/>
      <c r="AR74" s="426"/>
    </row>
    <row r="75" spans="1:44" s="85" customFormat="1" x14ac:dyDescent="0.25">
      <c r="A75" s="1189"/>
      <c r="B75" s="1197"/>
      <c r="C75" s="1197"/>
      <c r="D75" s="1198"/>
      <c r="E75" s="1198"/>
      <c r="F75" s="1198"/>
      <c r="G75" s="1196"/>
      <c r="H75" s="1198"/>
      <c r="I75" s="1198"/>
      <c r="J75" s="1198"/>
      <c r="K75" s="1198"/>
      <c r="L75" s="1198"/>
      <c r="N75" s="426"/>
      <c r="AF75" s="426"/>
      <c r="AL75" s="426"/>
      <c r="AR75" s="426"/>
    </row>
    <row r="76" spans="1:44" s="85" customFormat="1" ht="15.6" x14ac:dyDescent="0.3">
      <c r="A76" s="1187" t="s">
        <v>659</v>
      </c>
      <c r="B76" s="1194">
        <f>D76+F76+I76+K76</f>
        <v>1362852.4910499998</v>
      </c>
      <c r="C76" s="1194">
        <f>E76+H76+J76+L76</f>
        <v>867681.40714999998</v>
      </c>
      <c r="D76" s="1195">
        <f>L33/1000</f>
        <v>1152852.4910499998</v>
      </c>
      <c r="E76" s="1195">
        <f>AP33/1000</f>
        <v>706919.80038999999</v>
      </c>
      <c r="F76" s="1195">
        <f>L29/1000</f>
        <v>0</v>
      </c>
      <c r="G76" s="1196"/>
      <c r="H76" s="1195">
        <f>AP29/1000</f>
        <v>0</v>
      </c>
      <c r="I76" s="1195">
        <f>AD36/1000</f>
        <v>20000</v>
      </c>
      <c r="J76" s="1195">
        <f>BH36/1000</f>
        <v>20000</v>
      </c>
      <c r="K76" s="1195">
        <f>X36/1000</f>
        <v>190000</v>
      </c>
      <c r="L76" s="1195">
        <f>BB36/1000</f>
        <v>140761.60676</v>
      </c>
      <c r="N76" s="426"/>
      <c r="AF76" s="426"/>
      <c r="AL76" s="426"/>
      <c r="AR76" s="426"/>
    </row>
    <row r="77" spans="1:44" s="85" customFormat="1" x14ac:dyDescent="0.25">
      <c r="B77" s="1200"/>
      <c r="C77" s="1200"/>
      <c r="D77" s="1200"/>
      <c r="E77" s="1200"/>
      <c r="F77" s="1200"/>
      <c r="G77" s="1196"/>
      <c r="H77" s="1200"/>
      <c r="I77" s="1200"/>
      <c r="J77" s="1200"/>
      <c r="K77" s="1200"/>
      <c r="L77" s="1200"/>
      <c r="N77" s="426"/>
      <c r="AF77" s="426"/>
      <c r="AL77" s="426"/>
      <c r="AR77" s="426"/>
    </row>
    <row r="78" spans="1:44" s="85" customFormat="1" ht="15.6" x14ac:dyDescent="0.3">
      <c r="B78" s="1201">
        <f t="shared" ref="B78:C78" si="39">B63-B65-B70-B74-B76</f>
        <v>-2.3283064365386963E-9</v>
      </c>
      <c r="C78" s="1201">
        <f t="shared" si="39"/>
        <v>0</v>
      </c>
      <c r="D78" s="1201">
        <f>D63-D65-D70-D74-D76</f>
        <v>0</v>
      </c>
      <c r="E78" s="1201">
        <f t="shared" ref="E78:F78" si="40">E63-E65-E70-E74-E76</f>
        <v>0</v>
      </c>
      <c r="F78" s="1201">
        <f t="shared" si="40"/>
        <v>0</v>
      </c>
      <c r="G78" s="1196"/>
      <c r="H78" s="1201">
        <f>H63-H65-H70-H74-H76</f>
        <v>0</v>
      </c>
      <c r="I78" s="1201">
        <f>I63-I65-I70-I74-I76</f>
        <v>0</v>
      </c>
      <c r="J78" s="1201">
        <f>J63-J65-J70-J74-J76</f>
        <v>0</v>
      </c>
      <c r="K78" s="1201">
        <f>K63-K65-K70-K74-K76</f>
        <v>0</v>
      </c>
      <c r="L78" s="1201">
        <f>L63-L65-L70-L74-L76</f>
        <v>0</v>
      </c>
      <c r="N78" s="426"/>
      <c r="AF78" s="426"/>
      <c r="AL78" s="426"/>
      <c r="AR78" s="426"/>
    </row>
  </sheetData>
  <mergeCells count="31">
    <mergeCell ref="BK9:BL9"/>
    <mergeCell ref="AF6:BI7"/>
    <mergeCell ref="A45:K45"/>
    <mergeCell ref="AG8:AK9"/>
    <mergeCell ref="T8:Y8"/>
    <mergeCell ref="AF8:AF10"/>
    <mergeCell ref="Z8:AE8"/>
    <mergeCell ref="AY9:BC9"/>
    <mergeCell ref="N9:N10"/>
    <mergeCell ref="Z9:Z10"/>
    <mergeCell ref="AM9:AQ9"/>
    <mergeCell ref="T9:T10"/>
    <mergeCell ref="BE9:BI9"/>
    <mergeCell ref="U9:Y9"/>
    <mergeCell ref="AR9:AR10"/>
    <mergeCell ref="AX8:BC8"/>
    <mergeCell ref="AS9:AW9"/>
    <mergeCell ref="BD9:BD10"/>
    <mergeCell ref="BD8:BI8"/>
    <mergeCell ref="AL9:AL10"/>
    <mergeCell ref="AX9:AX10"/>
    <mergeCell ref="AL8:AW8"/>
    <mergeCell ref="AA9:AE9"/>
    <mergeCell ref="B6:AE7"/>
    <mergeCell ref="H9:H10"/>
    <mergeCell ref="C8:G9"/>
    <mergeCell ref="A6:A10"/>
    <mergeCell ref="I9:M9"/>
    <mergeCell ref="O9:S9"/>
    <mergeCell ref="B8:B10"/>
    <mergeCell ref="H8:S8"/>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CT39"/>
  <sheetViews>
    <sheetView topLeftCell="A2" zoomScale="50" zoomScaleNormal="50" zoomScaleSheetLayoutView="50" workbookViewId="0">
      <pane xSplit="3" ySplit="9" topLeftCell="D30" activePane="bottomRight" state="frozen"/>
      <selection activeCell="D27" sqref="D27"/>
      <selection pane="topRight" activeCell="D27" sqref="D27"/>
      <selection pane="bottomLeft" activeCell="D27" sqref="D27"/>
      <selection pane="bottomRight" activeCell="O12" sqref="O12"/>
    </sheetView>
  </sheetViews>
  <sheetFormatPr defaultColWidth="9.21875" defaultRowHeight="13.2" x14ac:dyDescent="0.25"/>
  <cols>
    <col min="1" max="1" width="24.21875" style="88" customWidth="1"/>
    <col min="2" max="3" width="23.77734375" style="88" bestFit="1" customWidth="1"/>
    <col min="4" max="5" width="23.44140625" style="88" customWidth="1"/>
    <col min="6" max="7" width="24.77734375" style="88" customWidth="1"/>
    <col min="8" max="9" width="31.21875" style="88" customWidth="1"/>
    <col min="10" max="11" width="26.77734375" style="88" customWidth="1"/>
    <col min="12" max="15" width="24.77734375" style="88" customWidth="1"/>
    <col min="16" max="19" width="26.77734375" style="88" customWidth="1"/>
    <col min="20" max="27" width="24.77734375" style="88" customWidth="1"/>
    <col min="28" max="29" width="27.21875" style="88" customWidth="1"/>
    <col min="30" max="33" width="26.77734375" style="88" customWidth="1"/>
    <col min="34" max="35" width="36.44140625" style="88" customWidth="1"/>
    <col min="36" max="39" width="25.21875" style="88" customWidth="1"/>
    <col min="40" max="41" width="36.44140625" style="88" customWidth="1"/>
    <col min="42" max="43" width="32.21875" style="88" customWidth="1"/>
    <col min="44" max="45" width="27.77734375" style="88" customWidth="1"/>
    <col min="46" max="47" width="28.77734375" style="88" customWidth="1"/>
    <col min="48" max="51" width="24.21875" style="88" customWidth="1"/>
    <col min="52" max="63" width="25.5546875" style="88" customWidth="1"/>
    <col min="64" max="64" width="24.21875" style="88" customWidth="1"/>
    <col min="65" max="65" width="24.5546875" style="88" customWidth="1"/>
    <col min="66" max="66" width="22.77734375" style="88" customWidth="1"/>
    <col min="67" max="71" width="20.44140625" style="88" customWidth="1"/>
    <col min="72" max="77" width="20.5546875" style="88" customWidth="1"/>
    <col min="78" max="79" width="21.77734375" style="88" customWidth="1"/>
    <col min="80" max="80" width="23.5546875" style="88" customWidth="1"/>
    <col min="81" max="81" width="22.77734375" style="88" customWidth="1"/>
    <col min="82" max="89" width="23.77734375" style="88" customWidth="1"/>
    <col min="90" max="91" width="27.77734375" style="88" customWidth="1"/>
    <col min="92" max="93" width="26.44140625" style="88" customWidth="1"/>
    <col min="94" max="95" width="23.44140625" style="88" customWidth="1"/>
    <col min="96" max="96" width="9.21875" style="88"/>
    <col min="97" max="97" width="14.5546875" style="88" bestFit="1" customWidth="1"/>
    <col min="98" max="98" width="13.21875" style="88" bestFit="1" customWidth="1"/>
    <col min="99" max="16384" width="9.21875" style="88"/>
  </cols>
  <sheetData>
    <row r="2" spans="1:98" ht="19.2" x14ac:dyDescent="0.35">
      <c r="F2" s="86" t="s">
        <v>303</v>
      </c>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row>
    <row r="3" spans="1:98" ht="19.2" x14ac:dyDescent="0.35">
      <c r="G3" s="492" t="str">
        <f>'Район  и  поселения'!E3</f>
        <v>ПО  СОСТОЯНИЮ  НА  1  ОКТЯБРЯ  2019  ГОДА</v>
      </c>
    </row>
    <row r="4" spans="1:98" ht="15.6" x14ac:dyDescent="0.3">
      <c r="B4" s="89"/>
      <c r="C4" s="89"/>
    </row>
    <row r="5" spans="1:98" ht="17.399999999999999" thickBot="1" x14ac:dyDescent="0.35">
      <c r="D5" s="90"/>
      <c r="CN5" s="141"/>
      <c r="CO5" s="141"/>
      <c r="CP5" s="1124" t="s">
        <v>22</v>
      </c>
      <c r="CQ5" s="141"/>
    </row>
    <row r="6" spans="1:98" ht="27" customHeight="1" thickBot="1" x14ac:dyDescent="0.3">
      <c r="A6" s="1702" t="s">
        <v>73</v>
      </c>
      <c r="B6" s="1705" t="s">
        <v>1</v>
      </c>
      <c r="C6" s="1706"/>
      <c r="D6" s="1712" t="s">
        <v>45</v>
      </c>
      <c r="E6" s="1713"/>
      <c r="F6" s="1713"/>
      <c r="G6" s="1713"/>
      <c r="H6" s="1713"/>
      <c r="I6" s="1713"/>
      <c r="J6" s="1713"/>
      <c r="K6" s="1713"/>
      <c r="L6" s="1713"/>
      <c r="M6" s="1713"/>
      <c r="N6" s="1713"/>
      <c r="O6" s="1713"/>
      <c r="P6" s="1713"/>
      <c r="Q6" s="1713"/>
      <c r="R6" s="1713"/>
      <c r="S6" s="1713"/>
      <c r="T6" s="1713"/>
      <c r="U6" s="1713"/>
      <c r="V6" s="1713"/>
      <c r="W6" s="1713"/>
      <c r="X6" s="1713"/>
      <c r="Y6" s="1713"/>
      <c r="Z6" s="1713"/>
      <c r="AA6" s="1713"/>
      <c r="AB6" s="1713"/>
      <c r="AC6" s="1713"/>
      <c r="AD6" s="1713"/>
      <c r="AE6" s="1713"/>
      <c r="AF6" s="1713"/>
      <c r="AG6" s="1713"/>
      <c r="AH6" s="1713"/>
      <c r="AI6" s="1713"/>
      <c r="AJ6" s="1713"/>
      <c r="AK6" s="1713"/>
      <c r="AL6" s="1713"/>
      <c r="AM6" s="1713"/>
      <c r="AN6" s="1713"/>
      <c r="AO6" s="1713"/>
      <c r="AP6" s="1713"/>
      <c r="AQ6" s="1713"/>
      <c r="AR6" s="1713"/>
      <c r="AS6" s="1713"/>
      <c r="AT6" s="1713"/>
      <c r="AU6" s="1713"/>
      <c r="AV6" s="1713"/>
      <c r="AW6" s="1713"/>
      <c r="AX6" s="1713"/>
      <c r="AY6" s="1713"/>
      <c r="AZ6" s="1713"/>
      <c r="BA6" s="1713"/>
      <c r="BB6" s="1713"/>
      <c r="BC6" s="1713"/>
      <c r="BD6" s="1713"/>
      <c r="BE6" s="1713"/>
      <c r="BF6" s="1713"/>
      <c r="BG6" s="1713"/>
      <c r="BH6" s="1713"/>
      <c r="BI6" s="1713"/>
      <c r="BJ6" s="1713"/>
      <c r="BK6" s="1713"/>
      <c r="BL6" s="1713"/>
      <c r="BM6" s="1713"/>
      <c r="BN6" s="1713"/>
      <c r="BO6" s="1713"/>
      <c r="BP6" s="1713"/>
      <c r="BQ6" s="1713"/>
      <c r="BR6" s="1713"/>
      <c r="BS6" s="1713"/>
      <c r="BT6" s="1713"/>
      <c r="BU6" s="1713"/>
      <c r="BV6" s="1713"/>
      <c r="BW6" s="1713"/>
      <c r="BX6" s="1713"/>
      <c r="BY6" s="1713"/>
      <c r="BZ6" s="1713"/>
      <c r="CA6" s="1713"/>
      <c r="CB6" s="1713"/>
      <c r="CC6" s="1713"/>
      <c r="CD6" s="1713"/>
      <c r="CE6" s="1713"/>
      <c r="CF6" s="1713"/>
      <c r="CG6" s="1713"/>
      <c r="CH6" s="1713"/>
      <c r="CI6" s="1713"/>
      <c r="CJ6" s="1713"/>
      <c r="CK6" s="1713"/>
      <c r="CL6" s="1713"/>
      <c r="CM6" s="1713"/>
      <c r="CN6" s="1713"/>
      <c r="CO6" s="1713"/>
      <c r="CP6" s="1713"/>
      <c r="CQ6" s="1714"/>
    </row>
    <row r="7" spans="1:98" ht="47.1" customHeight="1" thickBot="1" x14ac:dyDescent="0.3">
      <c r="A7" s="1703"/>
      <c r="B7" s="1707"/>
      <c r="C7" s="1708"/>
      <c r="D7" s="1691" t="s">
        <v>599</v>
      </c>
      <c r="E7" s="1692"/>
      <c r="F7" s="1692"/>
      <c r="G7" s="1692"/>
      <c r="H7" s="1692"/>
      <c r="I7" s="1692"/>
      <c r="J7" s="1692"/>
      <c r="K7" s="1692"/>
      <c r="L7" s="1216"/>
      <c r="M7" s="1216"/>
      <c r="N7" s="1216"/>
      <c r="O7" s="1216"/>
      <c r="P7" s="1216"/>
      <c r="Q7" s="1216"/>
      <c r="R7" s="1216"/>
      <c r="S7" s="1216"/>
      <c r="T7" s="1216"/>
      <c r="U7" s="1216"/>
      <c r="V7" s="1216"/>
      <c r="W7" s="1216"/>
      <c r="X7" s="1216"/>
      <c r="Y7" s="1216"/>
      <c r="Z7" s="1216"/>
      <c r="AA7" s="1216"/>
      <c r="AB7" s="1216"/>
      <c r="AC7" s="1216"/>
      <c r="AD7" s="1216"/>
      <c r="AE7" s="1216"/>
      <c r="AF7" s="1216"/>
      <c r="AG7" s="1216"/>
      <c r="AH7" s="1216"/>
      <c r="AI7" s="1216"/>
      <c r="AJ7" s="1216"/>
      <c r="AK7" s="1216"/>
      <c r="AL7" s="1216"/>
      <c r="AM7" s="1216"/>
      <c r="AN7" s="1216"/>
      <c r="AO7" s="1216"/>
      <c r="AP7" s="1216"/>
      <c r="AQ7" s="1216"/>
      <c r="AR7" s="1216"/>
      <c r="AS7" s="1216"/>
      <c r="AT7" s="1216"/>
      <c r="AU7" s="1216"/>
      <c r="AV7" s="1216"/>
      <c r="AW7" s="1216"/>
      <c r="AX7" s="1216"/>
      <c r="AY7" s="1216"/>
      <c r="AZ7" s="1216"/>
      <c r="BA7" s="1216"/>
      <c r="BB7" s="1216"/>
      <c r="BC7" s="1216"/>
      <c r="BD7" s="1216"/>
      <c r="BE7" s="1216"/>
      <c r="BF7" s="1216"/>
      <c r="BG7" s="1216"/>
      <c r="BH7" s="1216"/>
      <c r="BI7" s="1216"/>
      <c r="BJ7" s="1216"/>
      <c r="BK7" s="1217"/>
      <c r="BM7" s="1216"/>
      <c r="BN7" s="1691" t="s">
        <v>602</v>
      </c>
      <c r="BO7" s="1692"/>
      <c r="BP7" s="1692"/>
      <c r="BQ7" s="1692"/>
      <c r="BR7" s="1692"/>
      <c r="BS7" s="1692"/>
      <c r="BT7" s="1692"/>
      <c r="BU7" s="1692"/>
      <c r="BV7" s="1692"/>
      <c r="BW7" s="1692"/>
      <c r="BX7" s="1692"/>
      <c r="BY7" s="1692"/>
      <c r="BZ7" s="1692"/>
      <c r="CA7" s="1693"/>
      <c r="CB7" s="1715" t="s">
        <v>608</v>
      </c>
      <c r="CC7" s="1716"/>
      <c r="CD7" s="1716"/>
      <c r="CE7" s="1716"/>
      <c r="CF7" s="1716"/>
      <c r="CG7" s="1716"/>
      <c r="CH7" s="1716"/>
      <c r="CI7" s="1716"/>
      <c r="CJ7" s="1716"/>
      <c r="CK7" s="1716"/>
      <c r="CL7" s="1716"/>
      <c r="CM7" s="1716"/>
      <c r="CN7" s="1716"/>
      <c r="CO7" s="1716"/>
      <c r="CP7" s="1716"/>
      <c r="CQ7" s="1717"/>
    </row>
    <row r="8" spans="1:98" ht="98.55" customHeight="1" thickBot="1" x14ac:dyDescent="0.3">
      <c r="A8" s="1703"/>
      <c r="B8" s="1707"/>
      <c r="C8" s="1709"/>
      <c r="D8" s="1703" t="s">
        <v>17</v>
      </c>
      <c r="E8" s="1703" t="s">
        <v>18</v>
      </c>
      <c r="F8" s="1695" t="s">
        <v>741</v>
      </c>
      <c r="G8" s="1699"/>
      <c r="H8" s="1697" t="s">
        <v>503</v>
      </c>
      <c r="I8" s="1718"/>
      <c r="J8" s="1718"/>
      <c r="K8" s="1718"/>
      <c r="L8" s="1694" t="s">
        <v>500</v>
      </c>
      <c r="M8" s="1701"/>
      <c r="N8" s="1694" t="s">
        <v>854</v>
      </c>
      <c r="O8" s="1696"/>
      <c r="P8" s="1697" t="s">
        <v>613</v>
      </c>
      <c r="Q8" s="1718"/>
      <c r="R8" s="1718"/>
      <c r="S8" s="1698"/>
      <c r="T8" s="1695" t="s">
        <v>592</v>
      </c>
      <c r="U8" s="1699"/>
      <c r="V8" s="1695" t="s">
        <v>597</v>
      </c>
      <c r="W8" s="1699"/>
      <c r="X8" s="1695" t="s">
        <v>598</v>
      </c>
      <c r="Y8" s="1699"/>
      <c r="Z8" s="1684" t="s">
        <v>820</v>
      </c>
      <c r="AA8" s="1686"/>
      <c r="AB8" s="1684" t="s">
        <v>487</v>
      </c>
      <c r="AC8" s="1685"/>
      <c r="AD8" s="1249"/>
      <c r="AE8" s="1249"/>
      <c r="AF8" s="1249"/>
      <c r="AG8" s="1249"/>
      <c r="AH8" s="1028"/>
      <c r="AI8" s="1029"/>
      <c r="AJ8" s="1684" t="s">
        <v>473</v>
      </c>
      <c r="AK8" s="1685"/>
      <c r="AL8" s="1685"/>
      <c r="AM8" s="1686"/>
      <c r="AN8" s="1684" t="s">
        <v>480</v>
      </c>
      <c r="AO8" s="1685"/>
      <c r="AP8" s="1685"/>
      <c r="AQ8" s="1685"/>
      <c r="AR8" s="1685"/>
      <c r="AS8" s="1686"/>
      <c r="AT8" s="1684" t="s">
        <v>600</v>
      </c>
      <c r="AU8" s="1685"/>
      <c r="AV8" s="1685"/>
      <c r="AW8" s="1685"/>
      <c r="AX8" s="1249"/>
      <c r="AY8" s="1300"/>
      <c r="AZ8" s="1697" t="s">
        <v>601</v>
      </c>
      <c r="BA8" s="1698"/>
      <c r="BB8" s="1684" t="s">
        <v>711</v>
      </c>
      <c r="BC8" s="1686"/>
      <c r="BD8" s="1727" t="s">
        <v>696</v>
      </c>
      <c r="BE8" s="1728"/>
      <c r="BF8" s="1728"/>
      <c r="BG8" s="1728"/>
      <c r="BH8" s="1728"/>
      <c r="BI8" s="1728"/>
      <c r="BJ8" s="1301"/>
      <c r="BK8" s="1302"/>
      <c r="BL8" s="1694" t="s">
        <v>17</v>
      </c>
      <c r="BM8" s="1702" t="s">
        <v>18</v>
      </c>
      <c r="BN8" s="1694" t="s">
        <v>603</v>
      </c>
      <c r="BO8" s="1696"/>
      <c r="BP8" s="1694" t="s">
        <v>604</v>
      </c>
      <c r="BQ8" s="1696"/>
      <c r="BR8" s="1694" t="s">
        <v>605</v>
      </c>
      <c r="BS8" s="1696"/>
      <c r="BT8" s="1694" t="s">
        <v>607</v>
      </c>
      <c r="BU8" s="1696"/>
      <c r="BV8" s="1731" t="s">
        <v>437</v>
      </c>
      <c r="BW8" s="1732"/>
      <c r="BX8" s="1721" t="s">
        <v>434</v>
      </c>
      <c r="BY8" s="1722"/>
      <c r="BZ8" s="1725" t="s">
        <v>606</v>
      </c>
      <c r="CA8" s="1726"/>
      <c r="CB8" s="1695" t="s">
        <v>17</v>
      </c>
      <c r="CC8" s="1702" t="s">
        <v>18</v>
      </c>
      <c r="CD8" s="1519" t="s">
        <v>428</v>
      </c>
      <c r="CE8" s="1520"/>
      <c r="CF8" s="1520"/>
      <c r="CG8" s="1520"/>
      <c r="CH8" s="1520"/>
      <c r="CI8" s="1524"/>
      <c r="CJ8" s="1519" t="s">
        <v>427</v>
      </c>
      <c r="CK8" s="1520"/>
      <c r="CL8" s="1519" t="s">
        <v>803</v>
      </c>
      <c r="CM8" s="1520"/>
      <c r="CN8" s="1520"/>
      <c r="CO8" s="1524"/>
      <c r="CP8" s="1523" t="s">
        <v>533</v>
      </c>
      <c r="CQ8" s="1559"/>
    </row>
    <row r="9" spans="1:98" ht="177.6" customHeight="1" thickBot="1" x14ac:dyDescent="0.3">
      <c r="A9" s="1703"/>
      <c r="B9" s="1710"/>
      <c r="C9" s="1711"/>
      <c r="D9" s="1703"/>
      <c r="E9" s="1703"/>
      <c r="F9" s="1687"/>
      <c r="G9" s="1688"/>
      <c r="H9" s="1687" t="s">
        <v>411</v>
      </c>
      <c r="I9" s="1688"/>
      <c r="J9" s="1687" t="s">
        <v>288</v>
      </c>
      <c r="K9" s="1700"/>
      <c r="L9" s="1687"/>
      <c r="M9" s="1700"/>
      <c r="N9" s="1687"/>
      <c r="O9" s="1688"/>
      <c r="P9" s="1684" t="s">
        <v>762</v>
      </c>
      <c r="Q9" s="1686"/>
      <c r="R9" s="1685" t="s">
        <v>764</v>
      </c>
      <c r="S9" s="1686"/>
      <c r="T9" s="1687"/>
      <c r="U9" s="1688"/>
      <c r="V9" s="1687"/>
      <c r="W9" s="1688"/>
      <c r="X9" s="1687"/>
      <c r="Y9" s="1688"/>
      <c r="Z9" s="1684" t="s">
        <v>849</v>
      </c>
      <c r="AA9" s="1686"/>
      <c r="AB9" s="1687" t="s">
        <v>286</v>
      </c>
      <c r="AC9" s="1688"/>
      <c r="AD9" s="1687" t="s">
        <v>285</v>
      </c>
      <c r="AE9" s="1688"/>
      <c r="AF9" s="1687" t="s">
        <v>368</v>
      </c>
      <c r="AG9" s="1688"/>
      <c r="AH9" s="1687" t="s">
        <v>407</v>
      </c>
      <c r="AI9" s="1688"/>
      <c r="AJ9" s="1684" t="s">
        <v>727</v>
      </c>
      <c r="AK9" s="1686"/>
      <c r="AL9" s="1684" t="s">
        <v>728</v>
      </c>
      <c r="AM9" s="1686"/>
      <c r="AN9" s="1687" t="s">
        <v>751</v>
      </c>
      <c r="AO9" s="1688"/>
      <c r="AP9" s="1687" t="s">
        <v>309</v>
      </c>
      <c r="AQ9" s="1688"/>
      <c r="AR9" s="1684" t="s">
        <v>391</v>
      </c>
      <c r="AS9" s="1686"/>
      <c r="AT9" s="1684" t="s">
        <v>284</v>
      </c>
      <c r="AU9" s="1686"/>
      <c r="AV9" s="1684" t="s">
        <v>299</v>
      </c>
      <c r="AW9" s="1686"/>
      <c r="AX9" s="1684" t="s">
        <v>774</v>
      </c>
      <c r="AY9" s="1686"/>
      <c r="AZ9" s="1684" t="s">
        <v>311</v>
      </c>
      <c r="BA9" s="1686"/>
      <c r="BB9" s="1687" t="s">
        <v>287</v>
      </c>
      <c r="BC9" s="1700"/>
      <c r="BD9" s="1687" t="s">
        <v>352</v>
      </c>
      <c r="BE9" s="1688"/>
      <c r="BF9" s="1684" t="s">
        <v>310</v>
      </c>
      <c r="BG9" s="1686"/>
      <c r="BH9" s="1684" t="s">
        <v>304</v>
      </c>
      <c r="BI9" s="1686"/>
      <c r="BJ9" s="1684" t="s">
        <v>322</v>
      </c>
      <c r="BK9" s="1686"/>
      <c r="BL9" s="1695"/>
      <c r="BM9" s="1703"/>
      <c r="BN9" s="1687"/>
      <c r="BO9" s="1688"/>
      <c r="BP9" s="1687"/>
      <c r="BQ9" s="1688"/>
      <c r="BR9" s="1687"/>
      <c r="BS9" s="1688"/>
      <c r="BT9" s="1687"/>
      <c r="BU9" s="1688"/>
      <c r="BV9" s="1733"/>
      <c r="BW9" s="1734"/>
      <c r="BX9" s="1723"/>
      <c r="BY9" s="1724"/>
      <c r="BZ9" s="1697"/>
      <c r="CA9" s="1698"/>
      <c r="CB9" s="1695"/>
      <c r="CC9" s="1703"/>
      <c r="CD9" s="1519" t="s">
        <v>721</v>
      </c>
      <c r="CE9" s="1520"/>
      <c r="CF9" s="1519" t="s">
        <v>722</v>
      </c>
      <c r="CG9" s="1524"/>
      <c r="CH9" s="1519" t="s">
        <v>817</v>
      </c>
      <c r="CI9" s="1524"/>
      <c r="CJ9" s="1519" t="s">
        <v>748</v>
      </c>
      <c r="CK9" s="1524"/>
      <c r="CL9" s="1519" t="s">
        <v>644</v>
      </c>
      <c r="CM9" s="1524"/>
      <c r="CN9" s="1519" t="s">
        <v>777</v>
      </c>
      <c r="CO9" s="1524"/>
      <c r="CP9" s="1516"/>
      <c r="CQ9" s="1518"/>
    </row>
    <row r="10" spans="1:98" ht="21" customHeight="1" thickBot="1" x14ac:dyDescent="0.35">
      <c r="A10" s="1704"/>
      <c r="B10" s="94" t="s">
        <v>171</v>
      </c>
      <c r="C10" s="94" t="s">
        <v>172</v>
      </c>
      <c r="D10" s="1704"/>
      <c r="E10" s="1704"/>
      <c r="F10" s="91" t="s">
        <v>171</v>
      </c>
      <c r="G10" s="93" t="s">
        <v>172</v>
      </c>
      <c r="H10" s="93" t="s">
        <v>171</v>
      </c>
      <c r="I10" s="91" t="s">
        <v>172</v>
      </c>
      <c r="J10" s="93" t="s">
        <v>171</v>
      </c>
      <c r="K10" s="93" t="s">
        <v>172</v>
      </c>
      <c r="L10" s="93" t="s">
        <v>171</v>
      </c>
      <c r="M10" s="93" t="s">
        <v>172</v>
      </c>
      <c r="N10" s="93" t="s">
        <v>171</v>
      </c>
      <c r="O10" s="91" t="s">
        <v>172</v>
      </c>
      <c r="P10" s="93" t="s">
        <v>171</v>
      </c>
      <c r="Q10" s="91" t="s">
        <v>172</v>
      </c>
      <c r="R10" s="95" t="s">
        <v>171</v>
      </c>
      <c r="S10" s="91" t="s">
        <v>172</v>
      </c>
      <c r="T10" s="93" t="s">
        <v>171</v>
      </c>
      <c r="U10" s="91" t="s">
        <v>172</v>
      </c>
      <c r="V10" s="93" t="s">
        <v>171</v>
      </c>
      <c r="W10" s="91" t="s">
        <v>172</v>
      </c>
      <c r="X10" s="93" t="s">
        <v>171</v>
      </c>
      <c r="Y10" s="91" t="s">
        <v>172</v>
      </c>
      <c r="Z10" s="93" t="s">
        <v>171</v>
      </c>
      <c r="AA10" s="91" t="s">
        <v>172</v>
      </c>
      <c r="AB10" s="95" t="s">
        <v>171</v>
      </c>
      <c r="AC10" s="91" t="s">
        <v>172</v>
      </c>
      <c r="AD10" s="95" t="s">
        <v>171</v>
      </c>
      <c r="AE10" s="91" t="s">
        <v>172</v>
      </c>
      <c r="AF10" s="93" t="s">
        <v>171</v>
      </c>
      <c r="AG10" s="91" t="s">
        <v>172</v>
      </c>
      <c r="AH10" s="93" t="s">
        <v>171</v>
      </c>
      <c r="AI10" s="91" t="s">
        <v>172</v>
      </c>
      <c r="AJ10" s="93" t="s">
        <v>171</v>
      </c>
      <c r="AK10" s="91" t="s">
        <v>172</v>
      </c>
      <c r="AL10" s="95" t="s">
        <v>171</v>
      </c>
      <c r="AM10" s="91" t="s">
        <v>172</v>
      </c>
      <c r="AN10" s="93" t="s">
        <v>171</v>
      </c>
      <c r="AO10" s="91" t="s">
        <v>172</v>
      </c>
      <c r="AP10" s="93" t="s">
        <v>171</v>
      </c>
      <c r="AQ10" s="91" t="s">
        <v>172</v>
      </c>
      <c r="AR10" s="93" t="s">
        <v>171</v>
      </c>
      <c r="AS10" s="91" t="s">
        <v>172</v>
      </c>
      <c r="AT10" s="93" t="s">
        <v>171</v>
      </c>
      <c r="AU10" s="91" t="s">
        <v>172</v>
      </c>
      <c r="AV10" s="95" t="s">
        <v>171</v>
      </c>
      <c r="AW10" s="91" t="s">
        <v>172</v>
      </c>
      <c r="AX10" s="95" t="s">
        <v>171</v>
      </c>
      <c r="AY10" s="91" t="s">
        <v>172</v>
      </c>
      <c r="AZ10" s="93" t="s">
        <v>171</v>
      </c>
      <c r="BA10" s="91" t="s">
        <v>172</v>
      </c>
      <c r="BB10" s="93" t="s">
        <v>171</v>
      </c>
      <c r="BC10" s="93" t="s">
        <v>172</v>
      </c>
      <c r="BD10" s="91" t="s">
        <v>171</v>
      </c>
      <c r="BE10" s="811" t="s">
        <v>172</v>
      </c>
      <c r="BF10" s="93" t="s">
        <v>171</v>
      </c>
      <c r="BG10" s="91" t="s">
        <v>172</v>
      </c>
      <c r="BH10" s="93" t="s">
        <v>171</v>
      </c>
      <c r="BI10" s="91" t="s">
        <v>172</v>
      </c>
      <c r="BJ10" s="93" t="s">
        <v>171</v>
      </c>
      <c r="BK10" s="91" t="s">
        <v>172</v>
      </c>
      <c r="BL10" s="1695"/>
      <c r="BM10" s="1703"/>
      <c r="BN10" s="93" t="s">
        <v>171</v>
      </c>
      <c r="BO10" s="91" t="s">
        <v>172</v>
      </c>
      <c r="BP10" s="92" t="s">
        <v>171</v>
      </c>
      <c r="BQ10" s="92" t="s">
        <v>172</v>
      </c>
      <c r="BR10" s="93" t="s">
        <v>171</v>
      </c>
      <c r="BS10" s="91" t="s">
        <v>172</v>
      </c>
      <c r="BT10" s="95" t="s">
        <v>171</v>
      </c>
      <c r="BU10" s="91" t="s">
        <v>172</v>
      </c>
      <c r="BV10" s="95" t="s">
        <v>171</v>
      </c>
      <c r="BW10" s="91" t="s">
        <v>172</v>
      </c>
      <c r="BX10" s="93" t="s">
        <v>171</v>
      </c>
      <c r="BY10" s="91" t="s">
        <v>172</v>
      </c>
      <c r="BZ10" s="95" t="s">
        <v>171</v>
      </c>
      <c r="CA10" s="91" t="s">
        <v>172</v>
      </c>
      <c r="CB10" s="1695"/>
      <c r="CC10" s="1703"/>
      <c r="CD10" s="93" t="s">
        <v>171</v>
      </c>
      <c r="CE10" s="93" t="s">
        <v>172</v>
      </c>
      <c r="CF10" s="91" t="s">
        <v>171</v>
      </c>
      <c r="CG10" s="811" t="s">
        <v>172</v>
      </c>
      <c r="CH10" s="93" t="s">
        <v>171</v>
      </c>
      <c r="CI10" s="91" t="s">
        <v>172</v>
      </c>
      <c r="CJ10" s="93" t="s">
        <v>171</v>
      </c>
      <c r="CK10" s="91" t="s">
        <v>172</v>
      </c>
      <c r="CL10" s="95" t="s">
        <v>171</v>
      </c>
      <c r="CM10" s="91" t="s">
        <v>172</v>
      </c>
      <c r="CN10" s="95" t="s">
        <v>171</v>
      </c>
      <c r="CO10" s="91" t="s">
        <v>172</v>
      </c>
      <c r="CP10" s="93" t="s">
        <v>171</v>
      </c>
      <c r="CQ10" s="91" t="s">
        <v>172</v>
      </c>
      <c r="CS10" s="1729" t="s">
        <v>385</v>
      </c>
      <c r="CT10" s="1730"/>
    </row>
    <row r="11" spans="1:98" ht="25.5" customHeight="1" x14ac:dyDescent="0.3">
      <c r="A11" s="96" t="s">
        <v>88</v>
      </c>
      <c r="B11" s="98">
        <f t="shared" ref="B11:B28" si="0">D11+BL11+CB11</f>
        <v>7337732.6200000001</v>
      </c>
      <c r="C11" s="98">
        <f t="shared" ref="C11:C28" si="1">E11+BM11+CC11</f>
        <v>6464999.6000000006</v>
      </c>
      <c r="D11" s="269">
        <f>J11+L11+AB11+AD11+X11+BB11+AT11+AV11+F11+AJ11+BH11+AP11+AR11+AZ11+BF11+BJ11+BD11+V11+AF11+P11+AH11+H11+R11+T11+AL11+AN11+AX11+Z11+N11</f>
        <v>976930.62</v>
      </c>
      <c r="E11" s="269">
        <f>K11+M11+AC11+AE11+Y11+BC11+AU11+AW11+G11+AK11+BI11+AQ11+AS11+BA11+BG11+BK11+BE11+W11+AG11+Q11+AI11+I11+S11+U11+AM11+AO11+AY11+AA11+O11</f>
        <v>976930.62</v>
      </c>
      <c r="F11" s="650">
        <f>'Проверочная  таблица'!DE12+'Проверочная  таблица'!DG12</f>
        <v>0</v>
      </c>
      <c r="G11" s="98">
        <f>'Проверочная  таблица'!DF12+'Проверочная  таблица'!DH12</f>
        <v>0</v>
      </c>
      <c r="H11" s="98">
        <f>'Проверочная  таблица'!DX12</f>
        <v>0</v>
      </c>
      <c r="I11" s="97">
        <f>'Проверочная  таблица'!EF12</f>
        <v>0</v>
      </c>
      <c r="J11" s="99">
        <f>'Проверочная  таблица'!DZ12</f>
        <v>0</v>
      </c>
      <c r="K11" s="98">
        <f>'Проверочная  таблица'!EH12</f>
        <v>0</v>
      </c>
      <c r="L11" s="98">
        <f>'Проверочная  таблица'!EU12</f>
        <v>0</v>
      </c>
      <c r="M11" s="98">
        <f>'Проверочная  таблица'!EX12</f>
        <v>0</v>
      </c>
      <c r="N11" s="98">
        <f>'Проверочная  таблица'!FA12</f>
        <v>0</v>
      </c>
      <c r="O11" s="97">
        <f>'Проверочная  таблица'!FD12</f>
        <v>0</v>
      </c>
      <c r="P11" s="99">
        <f>'Проверочная  таблица'!FG12</f>
        <v>0</v>
      </c>
      <c r="Q11" s="98">
        <f>'Проверочная  таблица'!FL12</f>
        <v>0</v>
      </c>
      <c r="R11" s="98">
        <f>'Проверочная  таблица'!FI12</f>
        <v>0</v>
      </c>
      <c r="S11" s="97">
        <f>'Проверочная  таблица'!FN12</f>
        <v>0</v>
      </c>
      <c r="T11" s="98">
        <f>'Проверочная  таблица'!FQ12</f>
        <v>0</v>
      </c>
      <c r="U11" s="97">
        <f>'Проверочная  таблица'!FT12</f>
        <v>0</v>
      </c>
      <c r="V11" s="99">
        <f>'Проверочная  таблица'!FW12</f>
        <v>0</v>
      </c>
      <c r="W11" s="97">
        <f>'Проверочная  таблица'!FZ12</f>
        <v>0</v>
      </c>
      <c r="X11" s="99">
        <f>'Проверочная  таблица'!GC12+'Проверочная  таблица'!GI12</f>
        <v>970725.91</v>
      </c>
      <c r="Y11" s="98">
        <f>'Проверочная  таблица'!GF12+'Проверочная  таблица'!GL12</f>
        <v>970725.91</v>
      </c>
      <c r="Z11" s="98">
        <f>'Проверочная  таблица'!HA12</f>
        <v>0</v>
      </c>
      <c r="AA11" s="97">
        <f>'Проверочная  таблица'!HD12</f>
        <v>0</v>
      </c>
      <c r="AB11" s="99">
        <f>'Проверочная  таблица'!HI12+'Проверочная  таблица'!IA12</f>
        <v>6204.71</v>
      </c>
      <c r="AC11" s="97">
        <f>'Проверочная  таблица'!IJ12+'Проверочная  таблица'!HR12</f>
        <v>6204.71</v>
      </c>
      <c r="AD11" s="99">
        <f>'Проверочная  таблица'!HK12+'Проверочная  таблица'!IC12</f>
        <v>0</v>
      </c>
      <c r="AE11" s="98">
        <f>'Проверочная  таблица'!IL12+'Проверочная  таблица'!HT12</f>
        <v>0</v>
      </c>
      <c r="AF11" s="98">
        <f>'Проверочная  таблица'!HM12+'Проверочная  таблица'!IE12</f>
        <v>0</v>
      </c>
      <c r="AG11" s="98">
        <f>'Проверочная  таблица'!HV12+'Проверочная  таблица'!IN12</f>
        <v>0</v>
      </c>
      <c r="AH11" s="98">
        <f>'Проверочная  таблица'!HG12+'Проверочная  таблица'!HY12</f>
        <v>0</v>
      </c>
      <c r="AI11" s="97">
        <f>'Проверочная  таблица'!IH12+'Проверочная  таблица'!HP12</f>
        <v>0</v>
      </c>
      <c r="AJ11" s="98">
        <f>'Проверочная  таблица'!KA12</f>
        <v>0</v>
      </c>
      <c r="AK11" s="98">
        <f>'Проверочная  таблица'!KF12</f>
        <v>0</v>
      </c>
      <c r="AL11" s="98">
        <f>'Проверочная  таблица'!KC12</f>
        <v>0</v>
      </c>
      <c r="AM11" s="98">
        <f>'Проверочная  таблица'!KH12</f>
        <v>0</v>
      </c>
      <c r="AN11" s="98">
        <f>'Проверочная  таблица'!KL12</f>
        <v>0</v>
      </c>
      <c r="AO11" s="97">
        <f>'Проверочная  таблица'!KR12</f>
        <v>0</v>
      </c>
      <c r="AP11" s="99">
        <f>'Проверочная  таблица'!KN12</f>
        <v>0</v>
      </c>
      <c r="AQ11" s="97">
        <f>'Проверочная  таблица'!KT12</f>
        <v>0</v>
      </c>
      <c r="AR11" s="98">
        <f>'Проверочная  таблица'!KX12</f>
        <v>0</v>
      </c>
      <c r="AS11" s="97">
        <f>'Проверочная  таблица'!LB12</f>
        <v>0</v>
      </c>
      <c r="AT11" s="99">
        <f>'Проверочная  таблица'!LI12+'Проверочная  таблица'!LW12</f>
        <v>0</v>
      </c>
      <c r="AU11" s="97">
        <f>'Проверочная  таблица'!LP12+'Проверочная  таблица'!MB12</f>
        <v>0</v>
      </c>
      <c r="AV11" s="99">
        <f>'Проверочная  таблица'!LK12+'Проверочная  таблица'!LY12</f>
        <v>0</v>
      </c>
      <c r="AW11" s="98">
        <f>'Проверочная  таблица'!LR12+'Проверочная  таблица'!MD12</f>
        <v>0</v>
      </c>
      <c r="AX11" s="98">
        <f>'Проверочная  таблица'!LM12</f>
        <v>0</v>
      </c>
      <c r="AY11" s="97">
        <f>'Проверочная  таблица'!LT12</f>
        <v>0</v>
      </c>
      <c r="AZ11" s="99">
        <f>'Проверочная  таблица'!NE12</f>
        <v>0</v>
      </c>
      <c r="BA11" s="97">
        <f>'Проверочная  таблица'!NH12</f>
        <v>0</v>
      </c>
      <c r="BB11" s="98">
        <f>'Проверочная  таблица'!NW12</f>
        <v>0</v>
      </c>
      <c r="BC11" s="98">
        <f>'Проверочная  таблица'!NZ12</f>
        <v>0</v>
      </c>
      <c r="BD11" s="97">
        <f>'Проверочная  таблица'!OW12+'Проверочная  таблица'!PM12</f>
        <v>0</v>
      </c>
      <c r="BE11" s="650">
        <f>'Проверочная  таблица'!PD12+'Проверочная  таблица'!PV12</f>
        <v>0</v>
      </c>
      <c r="BF11" s="98">
        <f>'Проверочная  таблица'!PI12</f>
        <v>0</v>
      </c>
      <c r="BG11" s="98">
        <f>'Проверочная  таблица'!PR12</f>
        <v>0</v>
      </c>
      <c r="BH11" s="98">
        <f>'Проверочная  таблица'!OU12+'Проверочная  таблица'!PK12</f>
        <v>0</v>
      </c>
      <c r="BI11" s="97">
        <f>'Проверочная  таблица'!PB12+'Проверочная  таблица'!PT12</f>
        <v>0</v>
      </c>
      <c r="BJ11" s="99">
        <f>'Проверочная  таблица'!OY12+'Проверочная  таблица'!PO12</f>
        <v>0</v>
      </c>
      <c r="BK11" s="98">
        <f>'Проверочная  таблица'!PF12+'Проверочная  таблица'!PX12</f>
        <v>0</v>
      </c>
      <c r="BL11" s="98">
        <f>BZ11+BN11+BT11+BP11+BX11+BR11+BV11</f>
        <v>6360802</v>
      </c>
      <c r="BM11" s="97">
        <f>CA11+BO11+BU11+BQ11+BY11+BS11+BW11</f>
        <v>5488068.9800000004</v>
      </c>
      <c r="BN11" s="99">
        <f>'Проверочная  таблица'!SE12</f>
        <v>1401900</v>
      </c>
      <c r="BO11" s="97">
        <f>'Проверочная  таблица'!SF12</f>
        <v>876761.41</v>
      </c>
      <c r="BP11" s="100">
        <f>'Проверочная  таблица'!SG12</f>
        <v>3000</v>
      </c>
      <c r="BQ11" s="100">
        <f>'Проверочная  таблица'!SH12</f>
        <v>0</v>
      </c>
      <c r="BR11" s="270">
        <f>'Проверочная  таблица'!SI12</f>
        <v>3595902.0000000005</v>
      </c>
      <c r="BS11" s="443">
        <f>'Проверочная  таблица'!SJ12</f>
        <v>3575448</v>
      </c>
      <c r="BT11" s="164">
        <f>'Проверочная  таблица'!SK12</f>
        <v>0</v>
      </c>
      <c r="BU11" s="443">
        <f>'Проверочная  таблица'!SL12</f>
        <v>0</v>
      </c>
      <c r="BV11" s="164">
        <f>'Проверочная  таблица'!SM12</f>
        <v>0</v>
      </c>
      <c r="BW11" s="443">
        <f>'Проверочная  таблица'!SN12</f>
        <v>0</v>
      </c>
      <c r="BX11" s="270">
        <f>'Проверочная  таблица'!SO12</f>
        <v>0</v>
      </c>
      <c r="BY11" s="443">
        <f>'Проверочная  таблица'!SP12</f>
        <v>0</v>
      </c>
      <c r="BZ11" s="99">
        <f>'Проверочная  таблица'!SS12</f>
        <v>1360000</v>
      </c>
      <c r="CA11" s="98">
        <f>'Проверочная  таблица'!SV12</f>
        <v>1035859.57</v>
      </c>
      <c r="CB11" s="98">
        <f>CL11+CD11+CN11+CP11+CF11+CJ11+CH11</f>
        <v>0</v>
      </c>
      <c r="CC11" s="97">
        <f>CM11+CE11+CO11+CQ11+CG11+CK11+CI11</f>
        <v>0</v>
      </c>
      <c r="CD11" s="99">
        <f>'Проверочная  таблица'!TA12</f>
        <v>0</v>
      </c>
      <c r="CE11" s="98">
        <f>'Проверочная  таблица'!TJ12</f>
        <v>0</v>
      </c>
      <c r="CF11" s="97">
        <f>'Проверочная  таблица'!TC12</f>
        <v>0</v>
      </c>
      <c r="CG11" s="99">
        <f>'Проверочная  таблица'!TL12</f>
        <v>0</v>
      </c>
      <c r="CH11" s="98">
        <f>'Проверочная  таблица'!TE12</f>
        <v>0</v>
      </c>
      <c r="CI11" s="97">
        <f>'Проверочная  таблица'!TN12</f>
        <v>0</v>
      </c>
      <c r="CJ11" s="99">
        <f>'Проверочная  таблица'!TR12+'Проверочная  таблица'!TV12</f>
        <v>0</v>
      </c>
      <c r="CK11" s="97">
        <f>'Проверочная  таблица'!TT12+'Проверочная  таблица'!TX12</f>
        <v>0</v>
      </c>
      <c r="CL11" s="99">
        <f>'Проверочная  таблица'!UD12+'Проверочная  таблица'!UJ12</f>
        <v>0</v>
      </c>
      <c r="CM11" s="97">
        <f>'Проверочная  таблица'!UG12+'Проверочная  таблица'!UM12</f>
        <v>0</v>
      </c>
      <c r="CN11" s="99">
        <f>'Проверочная  таблица'!UE12+'Проверочная  таблица'!UK12</f>
        <v>0</v>
      </c>
      <c r="CO11" s="98">
        <f>'Проверочная  таблица'!UH12+'Проверочная  таблица'!UN12</f>
        <v>0</v>
      </c>
      <c r="CP11" s="98">
        <f>'Проверочная  таблица'!UU12</f>
        <v>0</v>
      </c>
      <c r="CQ11" s="97">
        <f>'Проверочная  таблица'!UX12</f>
        <v>0</v>
      </c>
      <c r="CS11" s="1026">
        <f>(BL11-BN11)/1000</f>
        <v>4958.902</v>
      </c>
      <c r="CT11" s="1026">
        <f>(BM11-BO11)/1000</f>
        <v>4611.3075699999999</v>
      </c>
    </row>
    <row r="12" spans="1:98" ht="25.5" customHeight="1" x14ac:dyDescent="0.3">
      <c r="A12" s="102" t="s">
        <v>89</v>
      </c>
      <c r="B12" s="103">
        <f t="shared" si="0"/>
        <v>88741513.590000004</v>
      </c>
      <c r="C12" s="103">
        <f t="shared" si="1"/>
        <v>67525850.870000005</v>
      </c>
      <c r="D12" s="269">
        <f t="shared" ref="D12:D28" si="2">J12+L12+AB12+AD12+X12+BB12+AT12+AV12+F12+AJ12+BH12+AP12+AR12+AZ12+BF12+BJ12+BD12+V12+AF12+P12+AH12+H12+R12+T12+AL12+AN12+AX12+Z12+N12</f>
        <v>60130168.590000004</v>
      </c>
      <c r="E12" s="269">
        <f t="shared" ref="E12:E28" si="3">K12+M12+AC12+AE12+Y12+BC12+AU12+AW12+G12+AK12+BI12+AQ12+AS12+BA12+BG12+BK12+BE12+W12+AG12+Q12+AI12+I12+S12+U12+AM12+AO12+AY12+AA12+O12</f>
        <v>43077648.050000004</v>
      </c>
      <c r="F12" s="100">
        <f>'Проверочная  таблица'!DE13+'Проверочная  таблица'!DG13</f>
        <v>28186117.34</v>
      </c>
      <c r="G12" s="103">
        <f>'Проверочная  таблица'!DF13+'Проверочная  таблица'!DH13</f>
        <v>25854013.75</v>
      </c>
      <c r="H12" s="103">
        <f>'Проверочная  таблица'!DX13</f>
        <v>0</v>
      </c>
      <c r="I12" s="101">
        <f>'Проверочная  таблица'!EF13</f>
        <v>0</v>
      </c>
      <c r="J12" s="104">
        <f>'Проверочная  таблица'!DZ13</f>
        <v>0</v>
      </c>
      <c r="K12" s="103">
        <f>'Проверочная  таблица'!EH13</f>
        <v>0</v>
      </c>
      <c r="L12" s="103">
        <f>'Проверочная  таблица'!EU13</f>
        <v>0</v>
      </c>
      <c r="M12" s="103">
        <f>'Проверочная  таблица'!EX13</f>
        <v>0</v>
      </c>
      <c r="N12" s="103">
        <f>'Проверочная  таблица'!FA13</f>
        <v>0</v>
      </c>
      <c r="O12" s="101">
        <f>'Проверочная  таблица'!FD13</f>
        <v>0</v>
      </c>
      <c r="P12" s="104">
        <f>'Проверочная  таблица'!FG13</f>
        <v>0</v>
      </c>
      <c r="Q12" s="103">
        <f>'Проверочная  таблица'!FL13</f>
        <v>0</v>
      </c>
      <c r="R12" s="103">
        <f>'Проверочная  таблица'!FI13</f>
        <v>0</v>
      </c>
      <c r="S12" s="101">
        <f>'Проверочная  таблица'!FN13</f>
        <v>0</v>
      </c>
      <c r="T12" s="103">
        <f>'Проверочная  таблица'!FQ13</f>
        <v>0</v>
      </c>
      <c r="U12" s="101">
        <f>'Проверочная  таблица'!FT13</f>
        <v>0</v>
      </c>
      <c r="V12" s="104">
        <f>'Проверочная  таблица'!FW13</f>
        <v>0</v>
      </c>
      <c r="W12" s="101">
        <f>'Проверочная  таблица'!FZ13</f>
        <v>0</v>
      </c>
      <c r="X12" s="104">
        <f>'Проверочная  таблица'!GC13+'Проверочная  таблица'!GI13</f>
        <v>1439997.26</v>
      </c>
      <c r="Y12" s="103">
        <f>'Проверочная  таблица'!GF13+'Проверочная  таблица'!GL13</f>
        <v>833330.32</v>
      </c>
      <c r="Z12" s="103">
        <f>'Проверочная  таблица'!HA13</f>
        <v>0</v>
      </c>
      <c r="AA12" s="101">
        <f>'Проверочная  таблица'!HD13</f>
        <v>0</v>
      </c>
      <c r="AB12" s="104">
        <f>'Проверочная  таблица'!HI13+'Проверочная  таблица'!IA13</f>
        <v>13153.99</v>
      </c>
      <c r="AC12" s="101">
        <f>'Проверочная  таблица'!IJ13+'Проверочная  таблица'!HR13</f>
        <v>13153.99</v>
      </c>
      <c r="AD12" s="104">
        <f>'Проверочная  таблица'!HK13+'Проверочная  таблица'!IC13</f>
        <v>0</v>
      </c>
      <c r="AE12" s="103">
        <f>'Проверочная  таблица'!IL13+'Проверочная  таблица'!HT13</f>
        <v>0</v>
      </c>
      <c r="AF12" s="103">
        <f>'Проверочная  таблица'!HM13+'Проверочная  таблица'!IE13</f>
        <v>0</v>
      </c>
      <c r="AG12" s="103">
        <f>'Проверочная  таблица'!HV13+'Проверочная  таблица'!IN13</f>
        <v>0</v>
      </c>
      <c r="AH12" s="103">
        <f>'Проверочная  таблица'!HG13+'Проверочная  таблица'!HY13</f>
        <v>14819600</v>
      </c>
      <c r="AI12" s="101">
        <f>'Проверочная  таблица'!IH13+'Проверочная  таблица'!HP13</f>
        <v>1548162.7400000002</v>
      </c>
      <c r="AJ12" s="103">
        <f>'Проверочная  таблица'!KA13</f>
        <v>0</v>
      </c>
      <c r="AK12" s="103">
        <f>'Проверочная  таблица'!KF13</f>
        <v>0</v>
      </c>
      <c r="AL12" s="103">
        <f>'Проверочная  таблица'!KC13</f>
        <v>0</v>
      </c>
      <c r="AM12" s="103">
        <f>'Проверочная  таблица'!KH13</f>
        <v>0</v>
      </c>
      <c r="AN12" s="103">
        <f>'Проверочная  таблица'!KL13</f>
        <v>0</v>
      </c>
      <c r="AO12" s="101">
        <f>'Проверочная  таблица'!KR13</f>
        <v>0</v>
      </c>
      <c r="AP12" s="104">
        <f>'Проверочная  таблица'!KN13</f>
        <v>0</v>
      </c>
      <c r="AQ12" s="101">
        <f>'Проверочная  таблица'!KT13</f>
        <v>0</v>
      </c>
      <c r="AR12" s="103">
        <f>'Проверочная  таблица'!KX13</f>
        <v>0</v>
      </c>
      <c r="AS12" s="101">
        <f>'Проверочная  таблица'!LB13</f>
        <v>0</v>
      </c>
      <c r="AT12" s="104">
        <f>'Проверочная  таблица'!LI13+'Проверочная  таблица'!LW13</f>
        <v>8071300</v>
      </c>
      <c r="AU12" s="101">
        <f>'Проверочная  таблица'!LP13+'Проверочная  таблица'!MB13</f>
        <v>7228987.25</v>
      </c>
      <c r="AV12" s="104">
        <f>'Проверочная  таблица'!LK13+'Проверочная  таблица'!LY13</f>
        <v>7600000</v>
      </c>
      <c r="AW12" s="103">
        <f>'Проверочная  таблица'!LR13+'Проверочная  таблица'!MD13</f>
        <v>7600000</v>
      </c>
      <c r="AX12" s="103">
        <f>'Проверочная  таблица'!LM13</f>
        <v>0</v>
      </c>
      <c r="AY12" s="101">
        <f>'Проверочная  таблица'!LT13</f>
        <v>0</v>
      </c>
      <c r="AZ12" s="104">
        <f>'Проверочная  таблица'!NE13</f>
        <v>0</v>
      </c>
      <c r="BA12" s="101">
        <f>'Проверочная  таблица'!NH13</f>
        <v>0</v>
      </c>
      <c r="BB12" s="103">
        <f>'Проверочная  таблица'!NW13</f>
        <v>0</v>
      </c>
      <c r="BC12" s="103">
        <f>'Проверочная  таблица'!NZ13</f>
        <v>0</v>
      </c>
      <c r="BD12" s="101">
        <f>'Проверочная  таблица'!OW13+'Проверочная  таблица'!PM13</f>
        <v>0</v>
      </c>
      <c r="BE12" s="100">
        <f>'Проверочная  таблица'!PD13+'Проверочная  таблица'!PV13</f>
        <v>0</v>
      </c>
      <c r="BF12" s="103">
        <f>'Проверочная  таблица'!PI13</f>
        <v>0</v>
      </c>
      <c r="BG12" s="103">
        <f>'Проверочная  таблица'!PR13</f>
        <v>0</v>
      </c>
      <c r="BH12" s="103">
        <f>'Проверочная  таблица'!OU13+'Проверочная  таблица'!PK13</f>
        <v>0</v>
      </c>
      <c r="BI12" s="101">
        <f>'Проверочная  таблица'!PB13+'Проверочная  таблица'!PT13</f>
        <v>0</v>
      </c>
      <c r="BJ12" s="104">
        <f>'Проверочная  таблица'!OY13+'Проверочная  таблица'!PO13</f>
        <v>0</v>
      </c>
      <c r="BK12" s="103">
        <f>'Проверочная  таблица'!PF13+'Проверочная  таблица'!PX13</f>
        <v>0</v>
      </c>
      <c r="BL12" s="103">
        <f t="shared" ref="BL12:BL28" si="4">BZ12+BN12+BT12+BP12+BX12+BR12+BV12</f>
        <v>8611345</v>
      </c>
      <c r="BM12" s="101">
        <f t="shared" ref="BM12:BM28" si="5">CA12+BO12+BU12+BQ12+BY12+BS12+BW12</f>
        <v>4448202.82</v>
      </c>
      <c r="BN12" s="104">
        <f>'Проверочная  таблица'!SE13</f>
        <v>1954800</v>
      </c>
      <c r="BO12" s="101">
        <f>'Проверочная  таблица'!SF13</f>
        <v>1273780.3700000001</v>
      </c>
      <c r="BP12" s="100">
        <f>'Проверочная  таблица'!SG13</f>
        <v>0</v>
      </c>
      <c r="BQ12" s="100">
        <f>'Проверочная  таблица'!SH13</f>
        <v>0</v>
      </c>
      <c r="BR12" s="271">
        <f>'Проверочная  таблица'!SI13</f>
        <v>2506545</v>
      </c>
      <c r="BS12" s="163">
        <f>'Проверочная  таблица'!SJ13</f>
        <v>0</v>
      </c>
      <c r="BT12" s="165">
        <f>'Проверочная  таблица'!SK13</f>
        <v>0</v>
      </c>
      <c r="BU12" s="163">
        <f>'Проверочная  таблица'!SL13</f>
        <v>0</v>
      </c>
      <c r="BV12" s="165">
        <f>'Проверочная  таблица'!SM13</f>
        <v>0</v>
      </c>
      <c r="BW12" s="163">
        <f>'Проверочная  таблица'!SN13</f>
        <v>0</v>
      </c>
      <c r="BX12" s="271">
        <f>'Проверочная  таблица'!SO13</f>
        <v>0</v>
      </c>
      <c r="BY12" s="163">
        <f>'Проверочная  таблица'!SP13</f>
        <v>0</v>
      </c>
      <c r="BZ12" s="104">
        <f>'Проверочная  таблица'!SS13</f>
        <v>4150000</v>
      </c>
      <c r="CA12" s="103">
        <f>'Проверочная  таблица'!SV13</f>
        <v>3174422.45</v>
      </c>
      <c r="CB12" s="103">
        <f t="shared" ref="CB12:CB28" si="6">CL12+CD12+CN12+CP12+CF12+CJ12+CH12</f>
        <v>20000000</v>
      </c>
      <c r="CC12" s="101">
        <f t="shared" ref="CC12:CC28" si="7">CM12+CE12+CO12+CQ12+CG12+CK12+CI12</f>
        <v>20000000</v>
      </c>
      <c r="CD12" s="104">
        <f>'Проверочная  таблица'!TA13</f>
        <v>0</v>
      </c>
      <c r="CE12" s="103">
        <f>'Проверочная  таблица'!TJ13</f>
        <v>0</v>
      </c>
      <c r="CF12" s="101">
        <f>'Проверочная  таблица'!TC13</f>
        <v>0</v>
      </c>
      <c r="CG12" s="104">
        <f>'Проверочная  таблица'!TL13</f>
        <v>0</v>
      </c>
      <c r="CH12" s="103">
        <f>'Проверочная  таблица'!TE13</f>
        <v>0</v>
      </c>
      <c r="CI12" s="101">
        <f>'Проверочная  таблица'!TN13</f>
        <v>0</v>
      </c>
      <c r="CJ12" s="104">
        <f>'Проверочная  таблица'!TR13+'Проверочная  таблица'!TV13</f>
        <v>0</v>
      </c>
      <c r="CK12" s="101">
        <f>'Проверочная  таблица'!TT13+'Проверочная  таблица'!TX13</f>
        <v>0</v>
      </c>
      <c r="CL12" s="104">
        <f>'Проверочная  таблица'!UD13+'Проверочная  таблица'!UJ13</f>
        <v>0</v>
      </c>
      <c r="CM12" s="101">
        <f>'Проверочная  таблица'!UG13+'Проверочная  таблица'!UM13</f>
        <v>0</v>
      </c>
      <c r="CN12" s="104">
        <f>'Проверочная  таблица'!UE13+'Проверочная  таблица'!UK13</f>
        <v>20000000</v>
      </c>
      <c r="CO12" s="103">
        <f>'Проверочная  таблица'!UH13+'Проверочная  таблица'!UN13</f>
        <v>20000000</v>
      </c>
      <c r="CP12" s="103">
        <f>'Проверочная  таблица'!UU13</f>
        <v>0</v>
      </c>
      <c r="CQ12" s="101">
        <f>'Проверочная  таблица'!UX13</f>
        <v>0</v>
      </c>
      <c r="CS12" s="1026">
        <f t="shared" ref="CS12:CS36" si="8">(BL12-BN12)/1000</f>
        <v>6656.5450000000001</v>
      </c>
      <c r="CT12" s="1026">
        <f t="shared" ref="CT12:CT36" si="9">(BM12-BO12)/1000</f>
        <v>3174.42245</v>
      </c>
    </row>
    <row r="13" spans="1:98" ht="25.5" customHeight="1" x14ac:dyDescent="0.3">
      <c r="A13" s="105" t="s">
        <v>90</v>
      </c>
      <c r="B13" s="103">
        <f t="shared" si="0"/>
        <v>52383602.840000004</v>
      </c>
      <c r="C13" s="103">
        <f t="shared" si="1"/>
        <v>14498458.5</v>
      </c>
      <c r="D13" s="269">
        <f t="shared" si="2"/>
        <v>45876657.840000004</v>
      </c>
      <c r="E13" s="269">
        <f t="shared" si="3"/>
        <v>12128495.189999999</v>
      </c>
      <c r="F13" s="100">
        <f>'Проверочная  таблица'!DE14+'Проверочная  таблица'!DG14</f>
        <v>34765603.780000001</v>
      </c>
      <c r="G13" s="103">
        <f>'Проверочная  таблица'!DF14+'Проверочная  таблица'!DH14</f>
        <v>10429681.130000001</v>
      </c>
      <c r="H13" s="103">
        <f>'Проверочная  таблица'!DX14</f>
        <v>0</v>
      </c>
      <c r="I13" s="101">
        <f>'Проверочная  таблица'!EF14</f>
        <v>0</v>
      </c>
      <c r="J13" s="104">
        <f>'Проверочная  таблица'!DZ14</f>
        <v>0</v>
      </c>
      <c r="K13" s="103">
        <f>'Проверочная  таблица'!EH14</f>
        <v>0</v>
      </c>
      <c r="L13" s="103">
        <f>'Проверочная  таблица'!EU14</f>
        <v>0</v>
      </c>
      <c r="M13" s="103">
        <f>'Проверочная  таблица'!EX14</f>
        <v>0</v>
      </c>
      <c r="N13" s="103">
        <f>'Проверочная  таблица'!FA14</f>
        <v>0</v>
      </c>
      <c r="O13" s="101">
        <f>'Проверочная  таблица'!FD14</f>
        <v>0</v>
      </c>
      <c r="P13" s="104">
        <f>'Проверочная  таблица'!FG14</f>
        <v>2721240</v>
      </c>
      <c r="Q13" s="103">
        <f>'Проверочная  таблица'!FL14</f>
        <v>0</v>
      </c>
      <c r="R13" s="103">
        <f>'Проверочная  таблица'!FI14</f>
        <v>0</v>
      </c>
      <c r="S13" s="101">
        <f>'Проверочная  таблица'!FN14</f>
        <v>0</v>
      </c>
      <c r="T13" s="103">
        <f>'Проверочная  таблица'!FQ14</f>
        <v>0</v>
      </c>
      <c r="U13" s="101">
        <f>'Проверочная  таблица'!FT14</f>
        <v>0</v>
      </c>
      <c r="V13" s="104">
        <f>'Проверочная  таблица'!FW14</f>
        <v>0</v>
      </c>
      <c r="W13" s="101">
        <f>'Проверочная  таблица'!FZ14</f>
        <v>0</v>
      </c>
      <c r="X13" s="104">
        <f>'Проверочная  таблица'!GC14+'Проверочная  таблица'!GI14</f>
        <v>1223997.67</v>
      </c>
      <c r="Y13" s="103">
        <f>'Проверочная  таблица'!GF14+'Проверочная  таблица'!GL14</f>
        <v>1223997.67</v>
      </c>
      <c r="Z13" s="103">
        <f>'Проверочная  таблица'!HA14</f>
        <v>0</v>
      </c>
      <c r="AA13" s="101">
        <f>'Проверочная  таблица'!HD14</f>
        <v>0</v>
      </c>
      <c r="AB13" s="104">
        <f>'Проверочная  таблица'!HI14+'Проверочная  таблица'!IA14</f>
        <v>4136.47</v>
      </c>
      <c r="AC13" s="101">
        <f>'Проверочная  таблица'!IJ14+'Проверочная  таблица'!HR14</f>
        <v>4136.47</v>
      </c>
      <c r="AD13" s="104">
        <f>'Проверочная  таблица'!HK14+'Проверочная  таблица'!IC14</f>
        <v>85480.639999999999</v>
      </c>
      <c r="AE13" s="103">
        <f>'Проверочная  таблица'!IL14+'Проверочная  таблица'!HT14</f>
        <v>85480.639999999999</v>
      </c>
      <c r="AF13" s="103">
        <f>'Проверочная  таблица'!HM14+'Проверочная  таблица'!IE14</f>
        <v>0</v>
      </c>
      <c r="AG13" s="103">
        <f>'Проверочная  таблица'!HV14+'Проверочная  таблица'!IN14</f>
        <v>0</v>
      </c>
      <c r="AH13" s="103">
        <f>'Проверочная  таблица'!HG14+'Проверочная  таблица'!HY14</f>
        <v>0</v>
      </c>
      <c r="AI13" s="101">
        <f>'Проверочная  таблица'!IH14+'Проверочная  таблица'!HP14</f>
        <v>0</v>
      </c>
      <c r="AJ13" s="103">
        <f>'Проверочная  таблица'!KA14</f>
        <v>0</v>
      </c>
      <c r="AK13" s="103">
        <f>'Проверочная  таблица'!KF14</f>
        <v>0</v>
      </c>
      <c r="AL13" s="103">
        <f>'Проверочная  таблица'!KC14</f>
        <v>0</v>
      </c>
      <c r="AM13" s="103">
        <f>'Проверочная  таблица'!KH14</f>
        <v>0</v>
      </c>
      <c r="AN13" s="103">
        <f>'Проверочная  таблица'!KL14</f>
        <v>0</v>
      </c>
      <c r="AO13" s="101">
        <f>'Проверочная  таблица'!KR14</f>
        <v>0</v>
      </c>
      <c r="AP13" s="104">
        <f>'Проверочная  таблица'!KN14</f>
        <v>0</v>
      </c>
      <c r="AQ13" s="101">
        <f>'Проверочная  таблица'!KT14</f>
        <v>0</v>
      </c>
      <c r="AR13" s="103">
        <f>'Проверочная  таблица'!KX14</f>
        <v>0</v>
      </c>
      <c r="AS13" s="101">
        <f>'Проверочная  таблица'!LB14</f>
        <v>0</v>
      </c>
      <c r="AT13" s="104">
        <f>'Проверочная  таблица'!LI14+'Проверочная  таблица'!LW14</f>
        <v>5225000</v>
      </c>
      <c r="AU13" s="101">
        <f>'Проверочная  таблица'!LP14+'Проверочная  таблица'!MB14</f>
        <v>0</v>
      </c>
      <c r="AV13" s="104">
        <f>'Проверочная  таблица'!LK14+'Проверочная  таблица'!LY14</f>
        <v>0</v>
      </c>
      <c r="AW13" s="103">
        <f>'Проверочная  таблица'!LR14+'Проверочная  таблица'!MD14</f>
        <v>0</v>
      </c>
      <c r="AX13" s="103">
        <f>'Проверочная  таблица'!LM14</f>
        <v>0</v>
      </c>
      <c r="AY13" s="101">
        <f>'Проверочная  таблица'!LT14</f>
        <v>0</v>
      </c>
      <c r="AZ13" s="104">
        <f>'Проверочная  таблица'!NE14</f>
        <v>385199.28</v>
      </c>
      <c r="BA13" s="101">
        <f>'Проверочная  таблица'!NH14</f>
        <v>385199.28</v>
      </c>
      <c r="BB13" s="103">
        <f>'Проверочная  таблица'!NW14</f>
        <v>0</v>
      </c>
      <c r="BC13" s="103">
        <f>'Проверочная  таблица'!NZ14</f>
        <v>0</v>
      </c>
      <c r="BD13" s="101">
        <f>'Проверочная  таблица'!OW14+'Проверочная  таблица'!PM14</f>
        <v>1466000</v>
      </c>
      <c r="BE13" s="100">
        <f>'Проверочная  таблица'!PD14+'Проверочная  таблица'!PV14</f>
        <v>0</v>
      </c>
      <c r="BF13" s="103">
        <f>'Проверочная  таблица'!PI14</f>
        <v>0</v>
      </c>
      <c r="BG13" s="103">
        <f>'Проверочная  таблица'!PR14</f>
        <v>0</v>
      </c>
      <c r="BH13" s="103">
        <f>'Проверочная  таблица'!OU14+'Проверочная  таблица'!PK14</f>
        <v>0</v>
      </c>
      <c r="BI13" s="101">
        <f>'Проверочная  таблица'!PB14+'Проверочная  таблица'!PT14</f>
        <v>0</v>
      </c>
      <c r="BJ13" s="104">
        <f>'Проверочная  таблица'!OY14+'Проверочная  таблица'!PO14</f>
        <v>0</v>
      </c>
      <c r="BK13" s="103">
        <f>'Проверочная  таблица'!PF14+'Проверочная  таблица'!PX14</f>
        <v>0</v>
      </c>
      <c r="BL13" s="103">
        <f t="shared" si="4"/>
        <v>6506945</v>
      </c>
      <c r="BM13" s="101">
        <f t="shared" si="5"/>
        <v>2369963.31</v>
      </c>
      <c r="BN13" s="104">
        <f>'Проверочная  таблица'!SE14</f>
        <v>1195400</v>
      </c>
      <c r="BO13" s="101">
        <f>'Проверочная  таблица'!SF14</f>
        <v>578939.18999999994</v>
      </c>
      <c r="BP13" s="100">
        <f>'Проверочная  таблица'!SG14</f>
        <v>5000</v>
      </c>
      <c r="BQ13" s="100">
        <f>'Проверочная  таблица'!SH14</f>
        <v>2250</v>
      </c>
      <c r="BR13" s="271">
        <f>'Проверочная  таблица'!SI14</f>
        <v>2506545</v>
      </c>
      <c r="BS13" s="163">
        <f>'Проверочная  таблица'!SJ14</f>
        <v>0</v>
      </c>
      <c r="BT13" s="165">
        <f>'Проверочная  таблица'!SK14</f>
        <v>0</v>
      </c>
      <c r="BU13" s="163">
        <f>'Проверочная  таблица'!SL14</f>
        <v>0</v>
      </c>
      <c r="BV13" s="165">
        <f>'Проверочная  таблица'!SM14</f>
        <v>0</v>
      </c>
      <c r="BW13" s="163">
        <f>'Проверочная  таблица'!SN14</f>
        <v>0</v>
      </c>
      <c r="BX13" s="271">
        <f>'Проверочная  таблица'!SO14</f>
        <v>0</v>
      </c>
      <c r="BY13" s="163">
        <f>'Проверочная  таблица'!SP14</f>
        <v>0</v>
      </c>
      <c r="BZ13" s="104">
        <f>'Проверочная  таблица'!SS14</f>
        <v>2800000</v>
      </c>
      <c r="CA13" s="103">
        <f>'Проверочная  таблица'!SV14</f>
        <v>1788774.12</v>
      </c>
      <c r="CB13" s="103">
        <f t="shared" si="6"/>
        <v>0</v>
      </c>
      <c r="CC13" s="101">
        <f t="shared" si="7"/>
        <v>0</v>
      </c>
      <c r="CD13" s="104">
        <f>'Проверочная  таблица'!TA14</f>
        <v>0</v>
      </c>
      <c r="CE13" s="103">
        <f>'Проверочная  таблица'!TJ14</f>
        <v>0</v>
      </c>
      <c r="CF13" s="101">
        <f>'Проверочная  таблица'!TC14</f>
        <v>0</v>
      </c>
      <c r="CG13" s="104">
        <f>'Проверочная  таблица'!TL14</f>
        <v>0</v>
      </c>
      <c r="CH13" s="103">
        <f>'Проверочная  таблица'!TE14</f>
        <v>0</v>
      </c>
      <c r="CI13" s="101">
        <f>'Проверочная  таблица'!TN14</f>
        <v>0</v>
      </c>
      <c r="CJ13" s="104">
        <f>'Проверочная  таблица'!TR14+'Проверочная  таблица'!TV14</f>
        <v>0</v>
      </c>
      <c r="CK13" s="101">
        <f>'Проверочная  таблица'!TT14+'Проверочная  таблица'!TX14</f>
        <v>0</v>
      </c>
      <c r="CL13" s="104">
        <f>'Проверочная  таблица'!UD14+'Проверочная  таблица'!UJ14</f>
        <v>0</v>
      </c>
      <c r="CM13" s="101">
        <f>'Проверочная  таблица'!UG14+'Проверочная  таблица'!UM14</f>
        <v>0</v>
      </c>
      <c r="CN13" s="104">
        <f>'Проверочная  таблица'!UE14+'Проверочная  таблица'!UK14</f>
        <v>0</v>
      </c>
      <c r="CO13" s="103">
        <f>'Проверочная  таблица'!UH14+'Проверочная  таблица'!UN14</f>
        <v>0</v>
      </c>
      <c r="CP13" s="103">
        <f>'Проверочная  таблица'!UU14</f>
        <v>0</v>
      </c>
      <c r="CQ13" s="101">
        <f>'Проверочная  таблица'!UX14</f>
        <v>0</v>
      </c>
      <c r="CS13" s="1026">
        <f t="shared" si="8"/>
        <v>5311.5450000000001</v>
      </c>
      <c r="CT13" s="1026">
        <f t="shared" si="9"/>
        <v>1791.02412</v>
      </c>
    </row>
    <row r="14" spans="1:98" ht="25.5" customHeight="1" x14ac:dyDescent="0.3">
      <c r="A14" s="102" t="s">
        <v>91</v>
      </c>
      <c r="B14" s="103">
        <f t="shared" si="0"/>
        <v>9996697.6799999997</v>
      </c>
      <c r="C14" s="103">
        <f t="shared" si="1"/>
        <v>8533158.3900000006</v>
      </c>
      <c r="D14" s="269">
        <f t="shared" si="2"/>
        <v>4276963.68</v>
      </c>
      <c r="E14" s="269">
        <f t="shared" si="3"/>
        <v>4208136.33</v>
      </c>
      <c r="F14" s="100">
        <f>'Проверочная  таблица'!DE15+'Проверочная  таблица'!DG15</f>
        <v>0</v>
      </c>
      <c r="G14" s="103">
        <f>'Проверочная  таблица'!DF15+'Проверочная  таблица'!DH15</f>
        <v>0</v>
      </c>
      <c r="H14" s="103">
        <f>'Проверочная  таблица'!DX15</f>
        <v>0</v>
      </c>
      <c r="I14" s="101">
        <f>'Проверочная  таблица'!EF15</f>
        <v>0</v>
      </c>
      <c r="J14" s="104">
        <f>'Проверочная  таблица'!DZ15</f>
        <v>0</v>
      </c>
      <c r="K14" s="103">
        <f>'Проверочная  таблица'!EH15</f>
        <v>0</v>
      </c>
      <c r="L14" s="103">
        <f>'Проверочная  таблица'!EU15</f>
        <v>0</v>
      </c>
      <c r="M14" s="103">
        <f>'Проверочная  таблица'!EX15</f>
        <v>0</v>
      </c>
      <c r="N14" s="103">
        <f>'Проверочная  таблица'!FA15</f>
        <v>0</v>
      </c>
      <c r="O14" s="101">
        <f>'Проверочная  таблица'!FD15</f>
        <v>0</v>
      </c>
      <c r="P14" s="104">
        <f>'Проверочная  таблица'!FG15</f>
        <v>0</v>
      </c>
      <c r="Q14" s="103">
        <f>'Проверочная  таблица'!FL15</f>
        <v>0</v>
      </c>
      <c r="R14" s="103">
        <f>'Проверочная  таблица'!FI15</f>
        <v>0</v>
      </c>
      <c r="S14" s="101">
        <f>'Проверочная  таблица'!FN15</f>
        <v>0</v>
      </c>
      <c r="T14" s="103">
        <f>'Проверочная  таблица'!FQ15</f>
        <v>0</v>
      </c>
      <c r="U14" s="101">
        <f>'Проверочная  таблица'!FT15</f>
        <v>0</v>
      </c>
      <c r="V14" s="104">
        <f>'Проверочная  таблица'!FW15</f>
        <v>0</v>
      </c>
      <c r="W14" s="101">
        <f>'Проверочная  таблица'!FZ15</f>
        <v>0</v>
      </c>
      <c r="X14" s="104">
        <f>'Проверочная  таблица'!GC15+'Проверочная  таблица'!GI15</f>
        <v>970726.63</v>
      </c>
      <c r="Y14" s="103">
        <f>'Проверочная  таблица'!GF15+'Проверочная  таблица'!GL15</f>
        <v>970726.63</v>
      </c>
      <c r="Z14" s="103">
        <f>'Проверочная  таблица'!HA15</f>
        <v>0</v>
      </c>
      <c r="AA14" s="101">
        <f>'Проверочная  таблица'!HD15</f>
        <v>0</v>
      </c>
      <c r="AB14" s="104">
        <f>'Проверочная  таблица'!HI15+'Проверочная  таблица'!IA15</f>
        <v>21178.74</v>
      </c>
      <c r="AC14" s="101">
        <f>'Проверочная  таблица'!IJ15+'Проверочная  таблица'!HR15</f>
        <v>21178.74</v>
      </c>
      <c r="AD14" s="104">
        <f>'Проверочная  таблица'!HK15+'Проверочная  таблица'!IC15</f>
        <v>0</v>
      </c>
      <c r="AE14" s="103">
        <f>'Проверочная  таблица'!IL15+'Проверочная  таблица'!HT15</f>
        <v>0</v>
      </c>
      <c r="AF14" s="103">
        <f>'Проверочная  таблица'!HM15+'Проверочная  таблица'!IE15</f>
        <v>0</v>
      </c>
      <c r="AG14" s="103">
        <f>'Проверочная  таблица'!HV15+'Проверочная  таблица'!IN15</f>
        <v>0</v>
      </c>
      <c r="AH14" s="103">
        <f>'Проверочная  таблица'!HG15+'Проверочная  таблица'!HY15</f>
        <v>0</v>
      </c>
      <c r="AI14" s="101">
        <f>'Проверочная  таблица'!IH15+'Проверочная  таблица'!HP15</f>
        <v>0</v>
      </c>
      <c r="AJ14" s="103">
        <f>'Проверочная  таблица'!KA15</f>
        <v>0</v>
      </c>
      <c r="AK14" s="103">
        <f>'Проверочная  таблица'!KF15</f>
        <v>0</v>
      </c>
      <c r="AL14" s="103">
        <f>'Проверочная  таблица'!KC15</f>
        <v>0</v>
      </c>
      <c r="AM14" s="103">
        <f>'Проверочная  таблица'!KH15</f>
        <v>0</v>
      </c>
      <c r="AN14" s="103">
        <f>'Проверочная  таблица'!KL15</f>
        <v>0</v>
      </c>
      <c r="AO14" s="101">
        <f>'Проверочная  таблица'!KR15</f>
        <v>0</v>
      </c>
      <c r="AP14" s="104">
        <f>'Проверочная  таблица'!KN15</f>
        <v>0</v>
      </c>
      <c r="AQ14" s="101">
        <f>'Проверочная  таблица'!KT15</f>
        <v>0</v>
      </c>
      <c r="AR14" s="103">
        <f>'Проверочная  таблица'!KX15</f>
        <v>0</v>
      </c>
      <c r="AS14" s="101">
        <f>'Проверочная  таблица'!LB15</f>
        <v>0</v>
      </c>
      <c r="AT14" s="104">
        <f>'Проверочная  таблица'!LI15+'Проверочная  таблица'!LW15</f>
        <v>0</v>
      </c>
      <c r="AU14" s="101">
        <f>'Проверочная  таблица'!LP15+'Проверочная  таблица'!MB15</f>
        <v>0</v>
      </c>
      <c r="AV14" s="104">
        <f>'Проверочная  таблица'!LK15+'Проверочная  таблица'!LY15</f>
        <v>0</v>
      </c>
      <c r="AW14" s="103">
        <f>'Проверочная  таблица'!LR15+'Проверочная  таблица'!MD15</f>
        <v>0</v>
      </c>
      <c r="AX14" s="103">
        <f>'Проверочная  таблица'!LM15</f>
        <v>0</v>
      </c>
      <c r="AY14" s="101">
        <f>'Проверочная  таблица'!LT15</f>
        <v>0</v>
      </c>
      <c r="AZ14" s="104">
        <f>'Проверочная  таблица'!NE15</f>
        <v>0</v>
      </c>
      <c r="BA14" s="101">
        <f>'Проверочная  таблица'!NH15</f>
        <v>0</v>
      </c>
      <c r="BB14" s="103">
        <f>'Проверочная  таблица'!NW15</f>
        <v>0</v>
      </c>
      <c r="BC14" s="103">
        <f>'Проверочная  таблица'!NZ15</f>
        <v>0</v>
      </c>
      <c r="BD14" s="101">
        <f>'Проверочная  таблица'!OW15+'Проверочная  таблица'!PM15</f>
        <v>0</v>
      </c>
      <c r="BE14" s="100">
        <f>'Проверочная  таблица'!PD15+'Проверочная  таблица'!PV15</f>
        <v>0</v>
      </c>
      <c r="BF14" s="103">
        <f>'Проверочная  таблица'!PI15</f>
        <v>0</v>
      </c>
      <c r="BG14" s="103">
        <f>'Проверочная  таблица'!PR15</f>
        <v>0</v>
      </c>
      <c r="BH14" s="103">
        <f>'Проверочная  таблица'!OU15+'Проверочная  таблица'!PK15</f>
        <v>3285058.3099999996</v>
      </c>
      <c r="BI14" s="101">
        <f>'Проверочная  таблица'!PB15+'Проверочная  таблица'!PT15</f>
        <v>3216230.96</v>
      </c>
      <c r="BJ14" s="104">
        <f>'Проверочная  таблица'!OY15+'Проверочная  таблица'!PO15</f>
        <v>0</v>
      </c>
      <c r="BK14" s="103">
        <f>'Проверочная  таблица'!PF15+'Проверочная  таблица'!PX15</f>
        <v>0</v>
      </c>
      <c r="BL14" s="103">
        <f t="shared" si="4"/>
        <v>5719734</v>
      </c>
      <c r="BM14" s="101">
        <f t="shared" si="5"/>
        <v>4325022.0600000005</v>
      </c>
      <c r="BN14" s="104">
        <f>'Проверочная  таблица'!SE15</f>
        <v>1721100</v>
      </c>
      <c r="BO14" s="101">
        <f>'Проверочная  таблица'!SF15</f>
        <v>1290825</v>
      </c>
      <c r="BP14" s="100">
        <f>'Проверочная  таблица'!SG15</f>
        <v>0</v>
      </c>
      <c r="BQ14" s="100">
        <f>'Проверочная  таблица'!SH15</f>
        <v>0</v>
      </c>
      <c r="BR14" s="271">
        <f>'Проверочная  таблица'!SI15</f>
        <v>1198634.0000000002</v>
      </c>
      <c r="BS14" s="163">
        <f>'Проверочная  таблица'!SJ15</f>
        <v>1191816</v>
      </c>
      <c r="BT14" s="165">
        <f>'Проверочная  таблица'!SK15</f>
        <v>0</v>
      </c>
      <c r="BU14" s="163">
        <f>'Проверочная  таблица'!SL15</f>
        <v>0</v>
      </c>
      <c r="BV14" s="165">
        <f>'Проверочная  таблица'!SM15</f>
        <v>0</v>
      </c>
      <c r="BW14" s="163">
        <f>'Проверочная  таблица'!SN15</f>
        <v>0</v>
      </c>
      <c r="BX14" s="271">
        <f>'Проверочная  таблица'!SO15</f>
        <v>0</v>
      </c>
      <c r="BY14" s="163">
        <f>'Проверочная  таблица'!SP15</f>
        <v>0</v>
      </c>
      <c r="BZ14" s="104">
        <f>'Проверочная  таблица'!SS15</f>
        <v>2800000</v>
      </c>
      <c r="CA14" s="103">
        <f>'Проверочная  таблица'!SV15</f>
        <v>1842381.06</v>
      </c>
      <c r="CB14" s="103">
        <f t="shared" si="6"/>
        <v>0</v>
      </c>
      <c r="CC14" s="101">
        <f t="shared" si="7"/>
        <v>0</v>
      </c>
      <c r="CD14" s="104">
        <f>'Проверочная  таблица'!TA15</f>
        <v>0</v>
      </c>
      <c r="CE14" s="103">
        <f>'Проверочная  таблица'!TJ15</f>
        <v>0</v>
      </c>
      <c r="CF14" s="101">
        <f>'Проверочная  таблица'!TC15</f>
        <v>0</v>
      </c>
      <c r="CG14" s="104">
        <f>'Проверочная  таблица'!TL15</f>
        <v>0</v>
      </c>
      <c r="CH14" s="103">
        <f>'Проверочная  таблица'!TE15</f>
        <v>0</v>
      </c>
      <c r="CI14" s="101">
        <f>'Проверочная  таблица'!TN15</f>
        <v>0</v>
      </c>
      <c r="CJ14" s="104">
        <f>'Проверочная  таблица'!TR15+'Проверочная  таблица'!TV15</f>
        <v>0</v>
      </c>
      <c r="CK14" s="101">
        <f>'Проверочная  таблица'!TT15+'Проверочная  таблица'!TX15</f>
        <v>0</v>
      </c>
      <c r="CL14" s="104">
        <f>'Проверочная  таблица'!UD15+'Проверочная  таблица'!UJ15</f>
        <v>0</v>
      </c>
      <c r="CM14" s="101">
        <f>'Проверочная  таблица'!UG15+'Проверочная  таблица'!UM15</f>
        <v>0</v>
      </c>
      <c r="CN14" s="104">
        <f>'Проверочная  таблица'!UE15+'Проверочная  таблица'!UK15</f>
        <v>0</v>
      </c>
      <c r="CO14" s="103">
        <f>'Проверочная  таблица'!UH15+'Проверочная  таблица'!UN15</f>
        <v>0</v>
      </c>
      <c r="CP14" s="103">
        <f>'Проверочная  таблица'!UU15</f>
        <v>0</v>
      </c>
      <c r="CQ14" s="101">
        <f>'Проверочная  таблица'!UX15</f>
        <v>0</v>
      </c>
      <c r="CS14" s="1026">
        <f t="shared" si="8"/>
        <v>3998.634</v>
      </c>
      <c r="CT14" s="1026">
        <f t="shared" si="9"/>
        <v>3034.1970600000004</v>
      </c>
    </row>
    <row r="15" spans="1:98" ht="25.5" customHeight="1" x14ac:dyDescent="0.3">
      <c r="A15" s="105" t="s">
        <v>92</v>
      </c>
      <c r="B15" s="103">
        <f t="shared" si="0"/>
        <v>35093023.329999998</v>
      </c>
      <c r="C15" s="103">
        <f t="shared" si="1"/>
        <v>28013084.520000003</v>
      </c>
      <c r="D15" s="269">
        <f t="shared" si="2"/>
        <v>30261635.329999998</v>
      </c>
      <c r="E15" s="269">
        <f t="shared" si="3"/>
        <v>25251423.490000002</v>
      </c>
      <c r="F15" s="100">
        <f>'Проверочная  таблица'!DE16+'Проверочная  таблица'!DG16</f>
        <v>0</v>
      </c>
      <c r="G15" s="103">
        <f>'Проверочная  таблица'!DF16+'Проверочная  таблица'!DH16</f>
        <v>0</v>
      </c>
      <c r="H15" s="103">
        <f>'Проверочная  таблица'!DX16</f>
        <v>0</v>
      </c>
      <c r="I15" s="101">
        <f>'Проверочная  таблица'!EF16</f>
        <v>0</v>
      </c>
      <c r="J15" s="104">
        <f>'Проверочная  таблица'!DZ16</f>
        <v>0</v>
      </c>
      <c r="K15" s="103">
        <f>'Проверочная  таблица'!EH16</f>
        <v>0</v>
      </c>
      <c r="L15" s="103">
        <f>'Проверочная  таблица'!EU16</f>
        <v>0</v>
      </c>
      <c r="M15" s="103">
        <f>'Проверочная  таблица'!EX16</f>
        <v>0</v>
      </c>
      <c r="N15" s="103">
        <f>'Проверочная  таблица'!FA16</f>
        <v>0</v>
      </c>
      <c r="O15" s="101">
        <f>'Проверочная  таблица'!FD16</f>
        <v>0</v>
      </c>
      <c r="P15" s="104">
        <f>'Проверочная  таблица'!FG16</f>
        <v>0</v>
      </c>
      <c r="Q15" s="103">
        <f>'Проверочная  таблица'!FL16</f>
        <v>0</v>
      </c>
      <c r="R15" s="103">
        <f>'Проверочная  таблица'!FI16</f>
        <v>0</v>
      </c>
      <c r="S15" s="101">
        <f>'Проверочная  таблица'!FN16</f>
        <v>0</v>
      </c>
      <c r="T15" s="103">
        <f>'Проверочная  таблица'!FQ16</f>
        <v>0</v>
      </c>
      <c r="U15" s="101">
        <f>'Проверочная  таблица'!FT16</f>
        <v>0</v>
      </c>
      <c r="V15" s="104">
        <f>'Проверочная  таблица'!FW16</f>
        <v>0</v>
      </c>
      <c r="W15" s="101">
        <f>'Проверочная  таблица'!FZ16</f>
        <v>0</v>
      </c>
      <c r="X15" s="104">
        <f>'Проверочная  таблица'!GC16+'Проверочная  таблица'!GI16</f>
        <v>970725.91</v>
      </c>
      <c r="Y15" s="103">
        <f>'Проверочная  таблица'!GF16+'Проверочная  таблица'!GL16</f>
        <v>970725.91</v>
      </c>
      <c r="Z15" s="103">
        <f>'Проверочная  таблица'!HA16</f>
        <v>0</v>
      </c>
      <c r="AA15" s="101">
        <f>'Проверочная  таблица'!HD16</f>
        <v>0</v>
      </c>
      <c r="AB15" s="104">
        <f>'Проверочная  таблица'!HI16+'Проверочная  таблица'!IA16</f>
        <v>12409.42</v>
      </c>
      <c r="AC15" s="101">
        <f>'Проверочная  таблица'!IJ16+'Проверочная  таблица'!HR16</f>
        <v>12409.42</v>
      </c>
      <c r="AD15" s="104">
        <f>'Проверочная  таблица'!HK16+'Проверочная  таблица'!IC16</f>
        <v>0</v>
      </c>
      <c r="AE15" s="103">
        <f>'Проверочная  таблица'!IL16+'Проверочная  таблица'!HT16</f>
        <v>0</v>
      </c>
      <c r="AF15" s="103">
        <f>'Проверочная  таблица'!HM16+'Проверочная  таблица'!IE16</f>
        <v>0</v>
      </c>
      <c r="AG15" s="103">
        <f>'Проверочная  таблица'!HV16+'Проверочная  таблица'!IN16</f>
        <v>0</v>
      </c>
      <c r="AH15" s="103">
        <f>'Проверочная  таблица'!HG16+'Проверочная  таблица'!HY16</f>
        <v>0</v>
      </c>
      <c r="AI15" s="101">
        <f>'Проверочная  таблица'!IH16+'Проверочная  таблица'!HP16</f>
        <v>0</v>
      </c>
      <c r="AJ15" s="103">
        <f>'Проверочная  таблица'!KA16</f>
        <v>0</v>
      </c>
      <c r="AK15" s="103">
        <f>'Проверочная  таблица'!KF16</f>
        <v>0</v>
      </c>
      <c r="AL15" s="103">
        <f>'Проверочная  таблица'!KC16</f>
        <v>0</v>
      </c>
      <c r="AM15" s="103">
        <f>'Проверочная  таблица'!KH16</f>
        <v>0</v>
      </c>
      <c r="AN15" s="103">
        <f>'Проверочная  таблица'!KL16</f>
        <v>0</v>
      </c>
      <c r="AO15" s="101">
        <f>'Проверочная  таблица'!KR16</f>
        <v>0</v>
      </c>
      <c r="AP15" s="104">
        <f>'Проверочная  таблица'!KN16</f>
        <v>0</v>
      </c>
      <c r="AQ15" s="101">
        <f>'Проверочная  таблица'!KT16</f>
        <v>0</v>
      </c>
      <c r="AR15" s="103">
        <f>'Проверочная  таблица'!KX16</f>
        <v>0</v>
      </c>
      <c r="AS15" s="101">
        <f>'Проверочная  таблица'!LB16</f>
        <v>0</v>
      </c>
      <c r="AT15" s="104">
        <f>'Проверочная  таблица'!LI16+'Проверочная  таблица'!LW16</f>
        <v>0</v>
      </c>
      <c r="AU15" s="101">
        <f>'Проверочная  таблица'!LP16+'Проверочная  таблица'!MB16</f>
        <v>0</v>
      </c>
      <c r="AV15" s="104">
        <f>'Проверочная  таблица'!LK16+'Проверочная  таблица'!LY16</f>
        <v>0</v>
      </c>
      <c r="AW15" s="103">
        <f>'Проверочная  таблица'!LR16+'Проверочная  таблица'!MD16</f>
        <v>0</v>
      </c>
      <c r="AX15" s="103">
        <f>'Проверочная  таблица'!LM16</f>
        <v>0</v>
      </c>
      <c r="AY15" s="101">
        <f>'Проверочная  таблица'!LT16</f>
        <v>0</v>
      </c>
      <c r="AZ15" s="104">
        <f>'Проверочная  таблица'!NE16</f>
        <v>0</v>
      </c>
      <c r="BA15" s="101">
        <f>'Проверочная  таблица'!NH16</f>
        <v>0</v>
      </c>
      <c r="BB15" s="103">
        <f>'Проверочная  таблица'!NW16</f>
        <v>0</v>
      </c>
      <c r="BC15" s="103">
        <f>'Проверочная  таблица'!NZ16</f>
        <v>0</v>
      </c>
      <c r="BD15" s="101">
        <f>'Проверочная  таблица'!OW16+'Проверочная  таблица'!PM16</f>
        <v>0</v>
      </c>
      <c r="BE15" s="100">
        <f>'Проверочная  таблица'!PD16+'Проверочная  таблица'!PV16</f>
        <v>0</v>
      </c>
      <c r="BF15" s="103">
        <f>'Проверочная  таблица'!PI16</f>
        <v>29278500</v>
      </c>
      <c r="BG15" s="103">
        <f>'Проверочная  таблица'!PR16</f>
        <v>24268288.16</v>
      </c>
      <c r="BH15" s="103">
        <f>'Проверочная  таблица'!OU16+'Проверочная  таблица'!PK16</f>
        <v>0</v>
      </c>
      <c r="BI15" s="101">
        <f>'Проверочная  таблица'!PB16+'Проверочная  таблица'!PT16</f>
        <v>0</v>
      </c>
      <c r="BJ15" s="104">
        <f>'Проверочная  таблица'!OY16+'Проверочная  таблица'!PO16</f>
        <v>0</v>
      </c>
      <c r="BK15" s="103">
        <f>'Проверочная  таблица'!PF16+'Проверочная  таблица'!PX16</f>
        <v>0</v>
      </c>
      <c r="BL15" s="103">
        <f t="shared" si="4"/>
        <v>4831388</v>
      </c>
      <c r="BM15" s="101">
        <f t="shared" si="5"/>
        <v>2761661.0300000003</v>
      </c>
      <c r="BN15" s="104">
        <f>'Проверочная  таблица'!SE16</f>
        <v>1594800</v>
      </c>
      <c r="BO15" s="101">
        <f>'Проверочная  таблица'!SF16</f>
        <v>1057717.74</v>
      </c>
      <c r="BP15" s="100">
        <f>'Проверочная  таблица'!SG16</f>
        <v>4000</v>
      </c>
      <c r="BQ15" s="100">
        <f>'Проверочная  таблица'!SH16</f>
        <v>0</v>
      </c>
      <c r="BR15" s="271">
        <f>'Проверочная  таблица'!SI16</f>
        <v>1282588</v>
      </c>
      <c r="BS15" s="163">
        <f>'Проверочная  таблица'!SJ16</f>
        <v>0</v>
      </c>
      <c r="BT15" s="165">
        <f>'Проверочная  таблица'!SK16</f>
        <v>0</v>
      </c>
      <c r="BU15" s="163">
        <f>'Проверочная  таблица'!SL16</f>
        <v>0</v>
      </c>
      <c r="BV15" s="165">
        <f>'Проверочная  таблица'!SM16</f>
        <v>0</v>
      </c>
      <c r="BW15" s="163">
        <f>'Проверочная  таблица'!SN16</f>
        <v>0</v>
      </c>
      <c r="BX15" s="271">
        <f>'Проверочная  таблица'!SO16</f>
        <v>0</v>
      </c>
      <c r="BY15" s="163">
        <f>'Проверочная  таблица'!SP16</f>
        <v>0</v>
      </c>
      <c r="BZ15" s="104">
        <f>'Проверочная  таблица'!SS16</f>
        <v>1950000</v>
      </c>
      <c r="CA15" s="103">
        <f>'Проверочная  таблица'!SV16</f>
        <v>1703943.29</v>
      </c>
      <c r="CB15" s="103">
        <f t="shared" si="6"/>
        <v>0</v>
      </c>
      <c r="CC15" s="101">
        <f t="shared" si="7"/>
        <v>0</v>
      </c>
      <c r="CD15" s="104">
        <f>'Проверочная  таблица'!TA16</f>
        <v>0</v>
      </c>
      <c r="CE15" s="103">
        <f>'Проверочная  таблица'!TJ16</f>
        <v>0</v>
      </c>
      <c r="CF15" s="101">
        <f>'Проверочная  таблица'!TC16</f>
        <v>0</v>
      </c>
      <c r="CG15" s="104">
        <f>'Проверочная  таблица'!TL16</f>
        <v>0</v>
      </c>
      <c r="CH15" s="103">
        <f>'Проверочная  таблица'!TE16</f>
        <v>0</v>
      </c>
      <c r="CI15" s="101">
        <f>'Проверочная  таблица'!TN16</f>
        <v>0</v>
      </c>
      <c r="CJ15" s="104">
        <f>'Проверочная  таблица'!TR16+'Проверочная  таблица'!TV16</f>
        <v>0</v>
      </c>
      <c r="CK15" s="101">
        <f>'Проверочная  таблица'!TT16+'Проверочная  таблица'!TX16</f>
        <v>0</v>
      </c>
      <c r="CL15" s="104">
        <f>'Проверочная  таблица'!UD16+'Проверочная  таблица'!UJ16</f>
        <v>0</v>
      </c>
      <c r="CM15" s="101">
        <f>'Проверочная  таблица'!UG16+'Проверочная  таблица'!UM16</f>
        <v>0</v>
      </c>
      <c r="CN15" s="104">
        <f>'Проверочная  таблица'!UE16+'Проверочная  таблица'!UK16</f>
        <v>0</v>
      </c>
      <c r="CO15" s="103">
        <f>'Проверочная  таблица'!UH16+'Проверочная  таблица'!UN16</f>
        <v>0</v>
      </c>
      <c r="CP15" s="103">
        <f>'Проверочная  таблица'!UU16</f>
        <v>0</v>
      </c>
      <c r="CQ15" s="101">
        <f>'Проверочная  таблица'!UX16</f>
        <v>0</v>
      </c>
      <c r="CS15" s="1026">
        <f t="shared" si="8"/>
        <v>3236.5880000000002</v>
      </c>
      <c r="CT15" s="1026">
        <f t="shared" si="9"/>
        <v>1703.9432900000002</v>
      </c>
    </row>
    <row r="16" spans="1:98" ht="25.5" customHeight="1" x14ac:dyDescent="0.3">
      <c r="A16" s="102" t="s">
        <v>93</v>
      </c>
      <c r="B16" s="103">
        <f t="shared" si="0"/>
        <v>18287632.119999997</v>
      </c>
      <c r="C16" s="103">
        <f t="shared" si="1"/>
        <v>4201999.58</v>
      </c>
      <c r="D16" s="269">
        <f t="shared" si="2"/>
        <v>12921787.119999999</v>
      </c>
      <c r="E16" s="269">
        <f t="shared" si="3"/>
        <v>2465329.96</v>
      </c>
      <c r="F16" s="100">
        <f>'Проверочная  таблица'!DE17+'Проверочная  таблица'!DG17</f>
        <v>0</v>
      </c>
      <c r="G16" s="103">
        <f>'Проверочная  таблица'!DF17+'Проверочная  таблица'!DH17</f>
        <v>0</v>
      </c>
      <c r="H16" s="103">
        <f>'Проверочная  таблица'!DX17</f>
        <v>0</v>
      </c>
      <c r="I16" s="101">
        <f>'Проверочная  таблица'!EF17</f>
        <v>0</v>
      </c>
      <c r="J16" s="104">
        <f>'Проверочная  таблица'!DZ17</f>
        <v>0</v>
      </c>
      <c r="K16" s="103">
        <f>'Проверочная  таблица'!EH17</f>
        <v>0</v>
      </c>
      <c r="L16" s="103">
        <f>'Проверочная  таблица'!EU17</f>
        <v>0</v>
      </c>
      <c r="M16" s="103">
        <f>'Проверочная  таблица'!EX17</f>
        <v>0</v>
      </c>
      <c r="N16" s="103">
        <f>'Проверочная  таблица'!FA17</f>
        <v>0</v>
      </c>
      <c r="O16" s="101">
        <f>'Проверочная  таблица'!FD17</f>
        <v>0</v>
      </c>
      <c r="P16" s="104">
        <f>'Проверочная  таблица'!FG17</f>
        <v>0</v>
      </c>
      <c r="Q16" s="103">
        <f>'Проверочная  таблица'!FL17</f>
        <v>0</v>
      </c>
      <c r="R16" s="103">
        <f>'Проверочная  таблица'!FI17</f>
        <v>0</v>
      </c>
      <c r="S16" s="101">
        <f>'Проверочная  таблица'!FN17</f>
        <v>0</v>
      </c>
      <c r="T16" s="103">
        <f>'Проверочная  таблица'!FQ17</f>
        <v>0</v>
      </c>
      <c r="U16" s="101">
        <f>'Проверочная  таблица'!FT17</f>
        <v>0</v>
      </c>
      <c r="V16" s="104">
        <f>'Проверочная  таблица'!FW17</f>
        <v>0</v>
      </c>
      <c r="W16" s="101">
        <f>'Проверочная  таблица'!FZ17</f>
        <v>0</v>
      </c>
      <c r="X16" s="104">
        <f>'Проверочная  таблица'!GC17+'Проверочная  таблица'!GI17</f>
        <v>970726.63</v>
      </c>
      <c r="Y16" s="103">
        <f>'Проверочная  таблица'!GF17+'Проверочная  таблица'!GL17</f>
        <v>907071.55</v>
      </c>
      <c r="Z16" s="103">
        <f>'Проверочная  таблица'!HA17</f>
        <v>0</v>
      </c>
      <c r="AA16" s="101">
        <f>'Проверочная  таблица'!HD17</f>
        <v>0</v>
      </c>
      <c r="AB16" s="104">
        <f>'Проверочная  таблица'!HI17+'Проверочная  таблица'!IA17</f>
        <v>827.29</v>
      </c>
      <c r="AC16" s="101">
        <f>'Проверочная  таблица'!IJ17+'Проверочная  таблица'!HR17</f>
        <v>827.29</v>
      </c>
      <c r="AD16" s="104">
        <f>'Проверочная  таблица'!HK17+'Проверочная  таблица'!IC17</f>
        <v>0</v>
      </c>
      <c r="AE16" s="103">
        <f>'Проверочная  таблица'!IL17+'Проверочная  таблица'!HT17</f>
        <v>0</v>
      </c>
      <c r="AF16" s="103">
        <f>'Проверочная  таблица'!HM17+'Проверочная  таблица'!IE17</f>
        <v>0</v>
      </c>
      <c r="AG16" s="103">
        <f>'Проверочная  таблица'!HV17+'Проверочная  таблица'!IN17</f>
        <v>0</v>
      </c>
      <c r="AH16" s="103">
        <f>'Проверочная  таблица'!HG17+'Проверочная  таблица'!HY17</f>
        <v>0</v>
      </c>
      <c r="AI16" s="101">
        <f>'Проверочная  таблица'!IH17+'Проверочная  таблица'!HP17</f>
        <v>0</v>
      </c>
      <c r="AJ16" s="103">
        <f>'Проверочная  таблица'!KA17</f>
        <v>0</v>
      </c>
      <c r="AK16" s="103">
        <f>'Проверочная  таблица'!KF17</f>
        <v>0</v>
      </c>
      <c r="AL16" s="103">
        <f>'Проверочная  таблица'!KC17</f>
        <v>0</v>
      </c>
      <c r="AM16" s="103">
        <f>'Проверочная  таблица'!KH17</f>
        <v>0</v>
      </c>
      <c r="AN16" s="103">
        <f>'Проверочная  таблица'!KL17</f>
        <v>0</v>
      </c>
      <c r="AO16" s="101">
        <f>'Проверочная  таблица'!KR17</f>
        <v>0</v>
      </c>
      <c r="AP16" s="104">
        <f>'Проверочная  таблица'!KN17</f>
        <v>0</v>
      </c>
      <c r="AQ16" s="101">
        <f>'Проверочная  таблица'!KT17</f>
        <v>0</v>
      </c>
      <c r="AR16" s="103">
        <f>'Проверочная  таблица'!KX17</f>
        <v>0</v>
      </c>
      <c r="AS16" s="101">
        <f>'Проверочная  таблица'!LB17</f>
        <v>0</v>
      </c>
      <c r="AT16" s="104">
        <f>'Проверочная  таблица'!LI17+'Проверочная  таблица'!LW17</f>
        <v>0</v>
      </c>
      <c r="AU16" s="101">
        <f>'Проверочная  таблица'!LP17+'Проверочная  таблица'!MB17</f>
        <v>0</v>
      </c>
      <c r="AV16" s="104">
        <f>'Проверочная  таблица'!LK17+'Проверочная  таблица'!LY17</f>
        <v>0</v>
      </c>
      <c r="AW16" s="103">
        <f>'Проверочная  таблица'!LR17+'Проверочная  таблица'!MD17</f>
        <v>0</v>
      </c>
      <c r="AX16" s="103">
        <f>'Проверочная  таблица'!LM17</f>
        <v>0</v>
      </c>
      <c r="AY16" s="101">
        <f>'Проверочная  таблица'!LT17</f>
        <v>0</v>
      </c>
      <c r="AZ16" s="104">
        <f>'Проверочная  таблица'!NE17</f>
        <v>432000</v>
      </c>
      <c r="BA16" s="101">
        <f>'Проверочная  таблица'!NH17</f>
        <v>284706.19</v>
      </c>
      <c r="BB16" s="103">
        <f>'Проверочная  таблица'!NW17</f>
        <v>0</v>
      </c>
      <c r="BC16" s="103">
        <f>'Проверочная  таблица'!NZ17</f>
        <v>0</v>
      </c>
      <c r="BD16" s="101">
        <f>'Проверочная  таблица'!OW17+'Проверочная  таблица'!PM17</f>
        <v>0</v>
      </c>
      <c r="BE16" s="100">
        <f>'Проверочная  таблица'!PD17+'Проверочная  таблица'!PV17</f>
        <v>0</v>
      </c>
      <c r="BF16" s="103">
        <f>'Проверочная  таблица'!PI17</f>
        <v>0</v>
      </c>
      <c r="BG16" s="103">
        <f>'Проверочная  таблица'!PR17</f>
        <v>0</v>
      </c>
      <c r="BH16" s="103">
        <f>'Проверочная  таблица'!OU17+'Проверочная  таблица'!PK17</f>
        <v>0</v>
      </c>
      <c r="BI16" s="101">
        <f>'Проверочная  таблица'!PB17+'Проверочная  таблица'!PT17</f>
        <v>0</v>
      </c>
      <c r="BJ16" s="104">
        <f>'Проверочная  таблица'!OY17+'Проверочная  таблица'!PO17</f>
        <v>11518233.199999999</v>
      </c>
      <c r="BK16" s="103">
        <f>'Проверочная  таблица'!PF17+'Проверочная  таблица'!PX17</f>
        <v>1272724.9300000002</v>
      </c>
      <c r="BL16" s="103">
        <f t="shared" si="4"/>
        <v>5365845</v>
      </c>
      <c r="BM16" s="101">
        <f t="shared" si="5"/>
        <v>1736669.62</v>
      </c>
      <c r="BN16" s="104">
        <f>'Проверочная  таблица'!SE17</f>
        <v>1004300</v>
      </c>
      <c r="BO16" s="101">
        <f>'Проверочная  таблица'!SF17</f>
        <v>683683.49</v>
      </c>
      <c r="BP16" s="100">
        <f>'Проверочная  таблица'!SG17</f>
        <v>5000</v>
      </c>
      <c r="BQ16" s="100">
        <f>'Проверочная  таблица'!SH17</f>
        <v>5000</v>
      </c>
      <c r="BR16" s="271">
        <f>'Проверочная  таблица'!SI17</f>
        <v>2506545</v>
      </c>
      <c r="BS16" s="163">
        <f>'Проверочная  таблица'!SJ17</f>
        <v>0</v>
      </c>
      <c r="BT16" s="165">
        <f>'Проверочная  таблица'!SK17</f>
        <v>0</v>
      </c>
      <c r="BU16" s="163">
        <f>'Проверочная  таблица'!SL17</f>
        <v>0</v>
      </c>
      <c r="BV16" s="165">
        <f>'Проверочная  таблица'!SM17</f>
        <v>0</v>
      </c>
      <c r="BW16" s="163">
        <f>'Проверочная  таблица'!SN17</f>
        <v>0</v>
      </c>
      <c r="BX16" s="271">
        <f>'Проверочная  таблица'!SO17</f>
        <v>0</v>
      </c>
      <c r="BY16" s="163">
        <f>'Проверочная  таблица'!SP17</f>
        <v>0</v>
      </c>
      <c r="BZ16" s="104">
        <f>'Проверочная  таблица'!SS17</f>
        <v>1850000</v>
      </c>
      <c r="CA16" s="103">
        <f>'Проверочная  таблица'!SV17</f>
        <v>1047986.13</v>
      </c>
      <c r="CB16" s="103">
        <f t="shared" si="6"/>
        <v>0</v>
      </c>
      <c r="CC16" s="101">
        <f t="shared" si="7"/>
        <v>0</v>
      </c>
      <c r="CD16" s="104">
        <f>'Проверочная  таблица'!TA17</f>
        <v>0</v>
      </c>
      <c r="CE16" s="103">
        <f>'Проверочная  таблица'!TJ17</f>
        <v>0</v>
      </c>
      <c r="CF16" s="101">
        <f>'Проверочная  таблица'!TC17</f>
        <v>0</v>
      </c>
      <c r="CG16" s="104">
        <f>'Проверочная  таблица'!TL17</f>
        <v>0</v>
      </c>
      <c r="CH16" s="103">
        <f>'Проверочная  таблица'!TE17</f>
        <v>0</v>
      </c>
      <c r="CI16" s="101">
        <f>'Проверочная  таблица'!TN17</f>
        <v>0</v>
      </c>
      <c r="CJ16" s="104">
        <f>'Проверочная  таблица'!TR17+'Проверочная  таблица'!TV17</f>
        <v>0</v>
      </c>
      <c r="CK16" s="101">
        <f>'Проверочная  таблица'!TT17+'Проверочная  таблица'!TX17</f>
        <v>0</v>
      </c>
      <c r="CL16" s="104">
        <f>'Проверочная  таблица'!UD17+'Проверочная  таблица'!UJ17</f>
        <v>0</v>
      </c>
      <c r="CM16" s="101">
        <f>'Проверочная  таблица'!UG17+'Проверочная  таблица'!UM17</f>
        <v>0</v>
      </c>
      <c r="CN16" s="104">
        <f>'Проверочная  таблица'!UE17+'Проверочная  таблица'!UK17</f>
        <v>0</v>
      </c>
      <c r="CO16" s="103">
        <f>'Проверочная  таблица'!UH17+'Проверочная  таблица'!UN17</f>
        <v>0</v>
      </c>
      <c r="CP16" s="103">
        <f>'Проверочная  таблица'!UU17</f>
        <v>0</v>
      </c>
      <c r="CQ16" s="101">
        <f>'Проверочная  таблица'!UX17</f>
        <v>0</v>
      </c>
      <c r="CS16" s="1026">
        <f t="shared" si="8"/>
        <v>4361.5450000000001</v>
      </c>
      <c r="CT16" s="1026">
        <f t="shared" si="9"/>
        <v>1052.9861300000002</v>
      </c>
    </row>
    <row r="17" spans="1:98" ht="25.5" customHeight="1" x14ac:dyDescent="0.3">
      <c r="A17" s="105" t="s">
        <v>94</v>
      </c>
      <c r="B17" s="103">
        <f t="shared" si="0"/>
        <v>26385658.550000001</v>
      </c>
      <c r="C17" s="103">
        <f t="shared" si="1"/>
        <v>8799556.2100000009</v>
      </c>
      <c r="D17" s="269">
        <f t="shared" si="2"/>
        <v>18777895.550000001</v>
      </c>
      <c r="E17" s="269">
        <f t="shared" si="3"/>
        <v>4593047.22</v>
      </c>
      <c r="F17" s="100">
        <f>'Проверочная  таблица'!DE18+'Проверочная  таблица'!DG18</f>
        <v>2113487.04</v>
      </c>
      <c r="G17" s="103">
        <f>'Проверочная  таблица'!DF18+'Проверочная  таблица'!DH18</f>
        <v>634046.11</v>
      </c>
      <c r="H17" s="103">
        <f>'Проверочная  таблица'!DX18</f>
        <v>0</v>
      </c>
      <c r="I17" s="101">
        <f>'Проверочная  таблица'!EF18</f>
        <v>0</v>
      </c>
      <c r="J17" s="104">
        <f>'Проверочная  таблица'!DZ18</f>
        <v>0</v>
      </c>
      <c r="K17" s="103">
        <f>'Проверочная  таблица'!EH18</f>
        <v>0</v>
      </c>
      <c r="L17" s="103">
        <f>'Проверочная  таблица'!EU18</f>
        <v>0</v>
      </c>
      <c r="M17" s="103">
        <f>'Проверочная  таблица'!EX18</f>
        <v>0</v>
      </c>
      <c r="N17" s="103">
        <f>'Проверочная  таблица'!FA18</f>
        <v>0</v>
      </c>
      <c r="O17" s="101">
        <f>'Проверочная  таблица'!FD18</f>
        <v>0</v>
      </c>
      <c r="P17" s="104">
        <f>'Проверочная  таблица'!FG18</f>
        <v>0</v>
      </c>
      <c r="Q17" s="103">
        <f>'Проверочная  таблица'!FL18</f>
        <v>0</v>
      </c>
      <c r="R17" s="103">
        <f>'Проверочная  таблица'!FI18</f>
        <v>0</v>
      </c>
      <c r="S17" s="101">
        <f>'Проверочная  таблица'!FN18</f>
        <v>0</v>
      </c>
      <c r="T17" s="103">
        <f>'Проверочная  таблица'!FQ18</f>
        <v>0</v>
      </c>
      <c r="U17" s="101">
        <f>'Проверочная  таблица'!FT18</f>
        <v>0</v>
      </c>
      <c r="V17" s="104">
        <f>'Проверочная  таблица'!FW18</f>
        <v>0</v>
      </c>
      <c r="W17" s="101">
        <f>'Проверочная  таблица'!FZ18</f>
        <v>0</v>
      </c>
      <c r="X17" s="104">
        <f>'Проверочная  таблица'!GC18+'Проверочная  таблица'!GI18</f>
        <v>970725.91</v>
      </c>
      <c r="Y17" s="103">
        <f>'Проверочная  таблица'!GF18+'Проверочная  таблица'!GL18</f>
        <v>970725.91</v>
      </c>
      <c r="Z17" s="103">
        <f>'Проверочная  таблица'!HA18</f>
        <v>0</v>
      </c>
      <c r="AA17" s="101">
        <f>'Проверочная  таблица'!HD18</f>
        <v>0</v>
      </c>
      <c r="AB17" s="104">
        <f>'Проверочная  таблица'!HI18+'Проверочная  таблица'!IA18</f>
        <v>2481.8799999999997</v>
      </c>
      <c r="AC17" s="101">
        <f>'Проверочная  таблица'!IJ18+'Проверочная  таблица'!HR18</f>
        <v>2481.8799999999997</v>
      </c>
      <c r="AD17" s="104">
        <f>'Проверочная  таблица'!HK18+'Проверочная  таблица'!IC18</f>
        <v>0</v>
      </c>
      <c r="AE17" s="103">
        <f>'Проверочная  таблица'!IL18+'Проверочная  таблица'!HT18</f>
        <v>0</v>
      </c>
      <c r="AF17" s="103">
        <f>'Проверочная  таблица'!HM18+'Проверочная  таблица'!IE18</f>
        <v>0</v>
      </c>
      <c r="AG17" s="103">
        <f>'Проверочная  таблица'!HV18+'Проверочная  таблица'!IN18</f>
        <v>0</v>
      </c>
      <c r="AH17" s="103">
        <f>'Проверочная  таблица'!HG18+'Проверочная  таблица'!HY18</f>
        <v>14819600</v>
      </c>
      <c r="AI17" s="101">
        <f>'Проверочная  таблица'!IH18+'Проверочная  таблица'!HP18</f>
        <v>2258912.5999999996</v>
      </c>
      <c r="AJ17" s="103">
        <f>'Проверочная  таблица'!KA18</f>
        <v>0</v>
      </c>
      <c r="AK17" s="103">
        <f>'Проверочная  таблица'!KF18</f>
        <v>0</v>
      </c>
      <c r="AL17" s="103">
        <f>'Проверочная  таблица'!KC18</f>
        <v>0</v>
      </c>
      <c r="AM17" s="103">
        <f>'Проверочная  таблица'!KH18</f>
        <v>0</v>
      </c>
      <c r="AN17" s="103">
        <f>'Проверочная  таблица'!KL18</f>
        <v>0</v>
      </c>
      <c r="AO17" s="101">
        <f>'Проверочная  таблица'!KR18</f>
        <v>0</v>
      </c>
      <c r="AP17" s="104">
        <f>'Проверочная  таблица'!KN18</f>
        <v>0</v>
      </c>
      <c r="AQ17" s="101">
        <f>'Проверочная  таблица'!KT18</f>
        <v>0</v>
      </c>
      <c r="AR17" s="103">
        <f>'Проверочная  таблица'!KX18</f>
        <v>0</v>
      </c>
      <c r="AS17" s="101">
        <f>'Проверочная  таблица'!LB18</f>
        <v>0</v>
      </c>
      <c r="AT17" s="104">
        <f>'Проверочная  таблица'!LI18+'Проверочная  таблица'!LW18</f>
        <v>0</v>
      </c>
      <c r="AU17" s="101">
        <f>'Проверочная  таблица'!LP18+'Проверочная  таблица'!MB18</f>
        <v>0</v>
      </c>
      <c r="AV17" s="104">
        <f>'Проверочная  таблица'!LK18+'Проверочная  таблица'!LY18</f>
        <v>0</v>
      </c>
      <c r="AW17" s="103">
        <f>'Проверочная  таблица'!LR18+'Проверочная  таблица'!MD18</f>
        <v>0</v>
      </c>
      <c r="AX17" s="103">
        <f>'Проверочная  таблица'!LM18</f>
        <v>0</v>
      </c>
      <c r="AY17" s="101">
        <f>'Проверочная  таблица'!LT18</f>
        <v>0</v>
      </c>
      <c r="AZ17" s="104">
        <f>'Проверочная  таблица'!NE18</f>
        <v>871600.72</v>
      </c>
      <c r="BA17" s="101">
        <f>'Проверочная  таблица'!NH18</f>
        <v>726880.72</v>
      </c>
      <c r="BB17" s="103">
        <f>'Проверочная  таблица'!NW18</f>
        <v>0</v>
      </c>
      <c r="BC17" s="103">
        <f>'Проверочная  таблица'!NZ18</f>
        <v>0</v>
      </c>
      <c r="BD17" s="101">
        <f>'Проверочная  таблица'!OW18+'Проверочная  таблица'!PM18</f>
        <v>0</v>
      </c>
      <c r="BE17" s="100">
        <f>'Проверочная  таблица'!PD18+'Проверочная  таблица'!PV18</f>
        <v>0</v>
      </c>
      <c r="BF17" s="103">
        <f>'Проверочная  таблица'!PI18</f>
        <v>0</v>
      </c>
      <c r="BG17" s="103">
        <f>'Проверочная  таблица'!PR18</f>
        <v>0</v>
      </c>
      <c r="BH17" s="103">
        <f>'Проверочная  таблица'!OU18+'Проверочная  таблица'!PK18</f>
        <v>0</v>
      </c>
      <c r="BI17" s="101">
        <f>'Проверочная  таблица'!PB18+'Проверочная  таблица'!PT18</f>
        <v>0</v>
      </c>
      <c r="BJ17" s="104">
        <f>'Проверочная  таблица'!OY18+'Проверочная  таблица'!PO18</f>
        <v>0</v>
      </c>
      <c r="BK17" s="103">
        <f>'Проверочная  таблица'!PF18+'Проверочная  таблица'!PX18</f>
        <v>0</v>
      </c>
      <c r="BL17" s="103">
        <f t="shared" si="4"/>
        <v>7607763</v>
      </c>
      <c r="BM17" s="101">
        <f t="shared" si="5"/>
        <v>4206508.99</v>
      </c>
      <c r="BN17" s="104">
        <f>'Проверочная  таблица'!SE18</f>
        <v>1622300</v>
      </c>
      <c r="BO17" s="101">
        <f>'Проверочная  таблица'!SF18</f>
        <v>1212300</v>
      </c>
      <c r="BP17" s="100">
        <f>'Проверочная  таблица'!SG18</f>
        <v>5000</v>
      </c>
      <c r="BQ17" s="100">
        <f>'Проверочная  таблица'!SH18</f>
        <v>0</v>
      </c>
      <c r="BR17" s="271">
        <f>'Проверочная  таблица'!SI18</f>
        <v>2506545</v>
      </c>
      <c r="BS17" s="163">
        <f>'Проверочная  таблица'!SJ18</f>
        <v>0</v>
      </c>
      <c r="BT17" s="165">
        <f>'Проверочная  таблица'!SK18</f>
        <v>1223918</v>
      </c>
      <c r="BU17" s="163">
        <f>'Проверочная  таблица'!SL18</f>
        <v>1191816</v>
      </c>
      <c r="BV17" s="165">
        <f>'Проверочная  таблица'!SM18</f>
        <v>0</v>
      </c>
      <c r="BW17" s="163">
        <f>'Проверочная  таблица'!SN18</f>
        <v>0</v>
      </c>
      <c r="BX17" s="271">
        <f>'Проверочная  таблица'!SO18</f>
        <v>0</v>
      </c>
      <c r="BY17" s="163">
        <f>'Проверочная  таблица'!SP18</f>
        <v>0</v>
      </c>
      <c r="BZ17" s="104">
        <f>'Проверочная  таблица'!SS18</f>
        <v>2250000</v>
      </c>
      <c r="CA17" s="103">
        <f>'Проверочная  таблица'!SV18</f>
        <v>1802392.99</v>
      </c>
      <c r="CB17" s="103">
        <f t="shared" si="6"/>
        <v>0</v>
      </c>
      <c r="CC17" s="101">
        <f t="shared" si="7"/>
        <v>0</v>
      </c>
      <c r="CD17" s="104">
        <f>'Проверочная  таблица'!TA18</f>
        <v>0</v>
      </c>
      <c r="CE17" s="103">
        <f>'Проверочная  таблица'!TJ18</f>
        <v>0</v>
      </c>
      <c r="CF17" s="101">
        <f>'Проверочная  таблица'!TC18</f>
        <v>0</v>
      </c>
      <c r="CG17" s="104">
        <f>'Проверочная  таблица'!TL18</f>
        <v>0</v>
      </c>
      <c r="CH17" s="103">
        <f>'Проверочная  таблица'!TE18</f>
        <v>0</v>
      </c>
      <c r="CI17" s="101">
        <f>'Проверочная  таблица'!TN18</f>
        <v>0</v>
      </c>
      <c r="CJ17" s="104">
        <f>'Проверочная  таблица'!TR18+'Проверочная  таблица'!TV18</f>
        <v>0</v>
      </c>
      <c r="CK17" s="101">
        <f>'Проверочная  таблица'!TT18+'Проверочная  таблица'!TX18</f>
        <v>0</v>
      </c>
      <c r="CL17" s="104">
        <f>'Проверочная  таблица'!UD18+'Проверочная  таблица'!UJ18</f>
        <v>0</v>
      </c>
      <c r="CM17" s="101">
        <f>'Проверочная  таблица'!UG18+'Проверочная  таблица'!UM18</f>
        <v>0</v>
      </c>
      <c r="CN17" s="104">
        <f>'Проверочная  таблица'!UE18+'Проверочная  таблица'!UK18</f>
        <v>0</v>
      </c>
      <c r="CO17" s="103">
        <f>'Проверочная  таблица'!UH18+'Проверочная  таблица'!UN18</f>
        <v>0</v>
      </c>
      <c r="CP17" s="103">
        <f>'Проверочная  таблица'!UU18</f>
        <v>0</v>
      </c>
      <c r="CQ17" s="101">
        <f>'Проверочная  таблица'!UX18</f>
        <v>0</v>
      </c>
      <c r="CS17" s="1026">
        <f t="shared" si="8"/>
        <v>5985.4629999999997</v>
      </c>
      <c r="CT17" s="1026">
        <f t="shared" si="9"/>
        <v>2994.2089900000001</v>
      </c>
    </row>
    <row r="18" spans="1:98" ht="25.5" customHeight="1" x14ac:dyDescent="0.3">
      <c r="A18" s="102" t="s">
        <v>95</v>
      </c>
      <c r="B18" s="103">
        <f t="shared" si="0"/>
        <v>19543408.579999998</v>
      </c>
      <c r="C18" s="103">
        <f t="shared" si="1"/>
        <v>5664332.1299999999</v>
      </c>
      <c r="D18" s="269">
        <f t="shared" si="2"/>
        <v>14116574.579999998</v>
      </c>
      <c r="E18" s="269">
        <f t="shared" si="3"/>
        <v>1088270.8799999999</v>
      </c>
      <c r="F18" s="100">
        <f>'Проверочная  таблица'!DE19+'Проверочная  таблица'!DG19</f>
        <v>0</v>
      </c>
      <c r="G18" s="103">
        <f>'Проверочная  таблица'!DF19+'Проверочная  таблица'!DH19</f>
        <v>0</v>
      </c>
      <c r="H18" s="103">
        <f>'Проверочная  таблица'!DX19</f>
        <v>0</v>
      </c>
      <c r="I18" s="101">
        <f>'Проверочная  таблица'!EF19</f>
        <v>0</v>
      </c>
      <c r="J18" s="104">
        <f>'Проверочная  таблица'!DZ19</f>
        <v>0</v>
      </c>
      <c r="K18" s="103">
        <f>'Проверочная  таблица'!EH19</f>
        <v>0</v>
      </c>
      <c r="L18" s="103">
        <f>'Проверочная  таблица'!EU19</f>
        <v>0</v>
      </c>
      <c r="M18" s="103">
        <f>'Проверочная  таблица'!EX19</f>
        <v>0</v>
      </c>
      <c r="N18" s="103">
        <f>'Проверочная  таблица'!FA19</f>
        <v>0</v>
      </c>
      <c r="O18" s="101">
        <f>'Проверочная  таблица'!FD19</f>
        <v>0</v>
      </c>
      <c r="P18" s="104">
        <f>'Проверочная  таблица'!FG19</f>
        <v>0</v>
      </c>
      <c r="Q18" s="103">
        <f>'Проверочная  таблица'!FL19</f>
        <v>0</v>
      </c>
      <c r="R18" s="103">
        <f>'Проверочная  таблица'!FI19</f>
        <v>0</v>
      </c>
      <c r="S18" s="101">
        <f>'Проверочная  таблица'!FN19</f>
        <v>0</v>
      </c>
      <c r="T18" s="103">
        <f>'Проверочная  таблица'!FQ19</f>
        <v>0</v>
      </c>
      <c r="U18" s="101">
        <f>'Проверочная  таблица'!FT19</f>
        <v>0</v>
      </c>
      <c r="V18" s="104">
        <f>'Проверочная  таблица'!FW19</f>
        <v>0</v>
      </c>
      <c r="W18" s="101">
        <f>'Проверочная  таблица'!FZ19</f>
        <v>0</v>
      </c>
      <c r="X18" s="104">
        <f>'Проверочная  таблица'!GC19+'Проверочная  таблица'!GI19</f>
        <v>1079997.93</v>
      </c>
      <c r="Y18" s="103">
        <f>'Проверочная  таблица'!GF19+'Проверочная  таблица'!GL19</f>
        <v>1079997.93</v>
      </c>
      <c r="Z18" s="103">
        <f>'Проверочная  таблица'!HA19</f>
        <v>0</v>
      </c>
      <c r="AA18" s="101">
        <f>'Проверочная  таблица'!HD19</f>
        <v>0</v>
      </c>
      <c r="AB18" s="104">
        <f>'Проверочная  таблица'!HI19+'Проверочная  таблица'!IA19</f>
        <v>8272.9499999999989</v>
      </c>
      <c r="AC18" s="101">
        <f>'Проверочная  таблица'!IJ19+'Проверочная  таблица'!HR19</f>
        <v>8272.9499999999989</v>
      </c>
      <c r="AD18" s="104">
        <f>'Проверочная  таблица'!HK19+'Проверочная  таблица'!IC19</f>
        <v>0</v>
      </c>
      <c r="AE18" s="103">
        <f>'Проверочная  таблица'!IL19+'Проверочная  таблица'!HT19</f>
        <v>0</v>
      </c>
      <c r="AF18" s="103">
        <f>'Проверочная  таблица'!HM19+'Проверочная  таблица'!IE19</f>
        <v>0</v>
      </c>
      <c r="AG18" s="103">
        <f>'Проверочная  таблица'!HV19+'Проверочная  таблица'!IN19</f>
        <v>0</v>
      </c>
      <c r="AH18" s="103">
        <f>'Проверочная  таблица'!HG19+'Проверочная  таблица'!HY19</f>
        <v>0</v>
      </c>
      <c r="AI18" s="101">
        <f>'Проверочная  таблица'!IH19+'Проверочная  таблица'!HP19</f>
        <v>0</v>
      </c>
      <c r="AJ18" s="103">
        <f>'Проверочная  таблица'!KA19</f>
        <v>0</v>
      </c>
      <c r="AK18" s="103">
        <f>'Проверочная  таблица'!KF19</f>
        <v>0</v>
      </c>
      <c r="AL18" s="103">
        <f>'Проверочная  таблица'!KC19</f>
        <v>0</v>
      </c>
      <c r="AM18" s="103">
        <f>'Проверочная  таблица'!KH19</f>
        <v>0</v>
      </c>
      <c r="AN18" s="103">
        <f>'Проверочная  таблица'!KL19</f>
        <v>0</v>
      </c>
      <c r="AO18" s="101">
        <f>'Проверочная  таблица'!KR19</f>
        <v>0</v>
      </c>
      <c r="AP18" s="104">
        <f>'Проверочная  таблица'!KN19</f>
        <v>0</v>
      </c>
      <c r="AQ18" s="101">
        <f>'Проверочная  таблица'!KT19</f>
        <v>0</v>
      </c>
      <c r="AR18" s="103">
        <f>'Проверочная  таблица'!KX19</f>
        <v>0</v>
      </c>
      <c r="AS18" s="101">
        <f>'Проверочная  таблица'!LB19</f>
        <v>0</v>
      </c>
      <c r="AT18" s="104">
        <f>'Проверочная  таблица'!LI19+'Проверочная  таблица'!LW19</f>
        <v>4275000</v>
      </c>
      <c r="AU18" s="101">
        <f>'Проверочная  таблица'!LP19+'Проверочная  таблица'!MB19</f>
        <v>0</v>
      </c>
      <c r="AV18" s="104">
        <f>'Проверочная  таблица'!LK19+'Проверочная  таблица'!LY19</f>
        <v>7600000</v>
      </c>
      <c r="AW18" s="103">
        <f>'Проверочная  таблица'!LR19+'Проверочная  таблица'!MD19</f>
        <v>0</v>
      </c>
      <c r="AX18" s="103">
        <f>'Проверочная  таблица'!LM19</f>
        <v>0</v>
      </c>
      <c r="AY18" s="101">
        <f>'Проверочная  таблица'!LT19</f>
        <v>0</v>
      </c>
      <c r="AZ18" s="104">
        <f>'Проверочная  таблица'!NE19</f>
        <v>0</v>
      </c>
      <c r="BA18" s="101">
        <f>'Проверочная  таблица'!NH19</f>
        <v>0</v>
      </c>
      <c r="BB18" s="103">
        <f>'Проверочная  таблица'!NW19</f>
        <v>0</v>
      </c>
      <c r="BC18" s="103">
        <f>'Проверочная  таблица'!NZ19</f>
        <v>0</v>
      </c>
      <c r="BD18" s="101">
        <f>'Проверочная  таблица'!OW19+'Проверочная  таблица'!PM19</f>
        <v>0</v>
      </c>
      <c r="BE18" s="100">
        <f>'Проверочная  таблица'!PD19+'Проверочная  таблица'!PV19</f>
        <v>0</v>
      </c>
      <c r="BF18" s="103">
        <f>'Проверочная  таблица'!PI19</f>
        <v>0</v>
      </c>
      <c r="BG18" s="103">
        <f>'Проверочная  таблица'!PR19</f>
        <v>0</v>
      </c>
      <c r="BH18" s="103">
        <f>'Проверочная  таблица'!OU19+'Проверочная  таблица'!PK19</f>
        <v>1153303.7</v>
      </c>
      <c r="BI18" s="101">
        <f>'Проверочная  таблица'!PB19+'Проверочная  таблица'!PT19</f>
        <v>0</v>
      </c>
      <c r="BJ18" s="104">
        <f>'Проверочная  таблица'!OY19+'Проверочная  таблица'!PO19</f>
        <v>0</v>
      </c>
      <c r="BK18" s="103">
        <f>'Проверочная  таблица'!PF19+'Проверочная  таблица'!PX19</f>
        <v>0</v>
      </c>
      <c r="BL18" s="103">
        <f t="shared" si="4"/>
        <v>5426834</v>
      </c>
      <c r="BM18" s="101">
        <f t="shared" si="5"/>
        <v>4576061.25</v>
      </c>
      <c r="BN18" s="104">
        <f>'Проверочная  таблица'!SE19</f>
        <v>1675000</v>
      </c>
      <c r="BO18" s="101">
        <f>'Проверочная  таблица'!SF19</f>
        <v>1111045.3500000001</v>
      </c>
      <c r="BP18" s="100">
        <f>'Проверочная  таблица'!SG19</f>
        <v>3200</v>
      </c>
      <c r="BQ18" s="100">
        <f>'Проверочная  таблица'!SH19</f>
        <v>3200</v>
      </c>
      <c r="BR18" s="271">
        <f>'Проверочная  таблица'!SI19</f>
        <v>1198634.0000000002</v>
      </c>
      <c r="BS18" s="163">
        <f>'Проверочная  таблица'!SJ19</f>
        <v>1191816</v>
      </c>
      <c r="BT18" s="165">
        <f>'Проверочная  таблица'!SK19</f>
        <v>0</v>
      </c>
      <c r="BU18" s="163">
        <f>'Проверочная  таблица'!SL19</f>
        <v>0</v>
      </c>
      <c r="BV18" s="165">
        <f>'Проверочная  таблица'!SM19</f>
        <v>0</v>
      </c>
      <c r="BW18" s="163">
        <f>'Проверочная  таблица'!SN19</f>
        <v>0</v>
      </c>
      <c r="BX18" s="271">
        <f>'Проверочная  таблица'!SO19</f>
        <v>0</v>
      </c>
      <c r="BY18" s="163">
        <f>'Проверочная  таблица'!SP19</f>
        <v>0</v>
      </c>
      <c r="BZ18" s="104">
        <f>'Проверочная  таблица'!SS19</f>
        <v>2550000</v>
      </c>
      <c r="CA18" s="103">
        <f>'Проверочная  таблица'!SV19</f>
        <v>2269999.9</v>
      </c>
      <c r="CB18" s="103">
        <f t="shared" si="6"/>
        <v>0</v>
      </c>
      <c r="CC18" s="101">
        <f t="shared" si="7"/>
        <v>0</v>
      </c>
      <c r="CD18" s="104">
        <f>'Проверочная  таблица'!TA19</f>
        <v>0</v>
      </c>
      <c r="CE18" s="103">
        <f>'Проверочная  таблица'!TJ19</f>
        <v>0</v>
      </c>
      <c r="CF18" s="101">
        <f>'Проверочная  таблица'!TC19</f>
        <v>0</v>
      </c>
      <c r="CG18" s="104">
        <f>'Проверочная  таблица'!TL19</f>
        <v>0</v>
      </c>
      <c r="CH18" s="103">
        <f>'Проверочная  таблица'!TE19</f>
        <v>0</v>
      </c>
      <c r="CI18" s="101">
        <f>'Проверочная  таблица'!TN19</f>
        <v>0</v>
      </c>
      <c r="CJ18" s="104">
        <f>'Проверочная  таблица'!TR19+'Проверочная  таблица'!TV19</f>
        <v>0</v>
      </c>
      <c r="CK18" s="101">
        <f>'Проверочная  таблица'!TT19+'Проверочная  таблица'!TX19</f>
        <v>0</v>
      </c>
      <c r="CL18" s="104">
        <f>'Проверочная  таблица'!UD19+'Проверочная  таблица'!UJ19</f>
        <v>0</v>
      </c>
      <c r="CM18" s="101">
        <f>'Проверочная  таблица'!UG19+'Проверочная  таблица'!UM19</f>
        <v>0</v>
      </c>
      <c r="CN18" s="104">
        <f>'Проверочная  таблица'!UE19+'Проверочная  таблица'!UK19</f>
        <v>0</v>
      </c>
      <c r="CO18" s="103">
        <f>'Проверочная  таблица'!UH19+'Проверочная  таблица'!UN19</f>
        <v>0</v>
      </c>
      <c r="CP18" s="103">
        <f>'Проверочная  таблица'!UU19</f>
        <v>0</v>
      </c>
      <c r="CQ18" s="101">
        <f>'Проверочная  таблица'!UX19</f>
        <v>0</v>
      </c>
      <c r="CS18" s="1026">
        <f t="shared" si="8"/>
        <v>3751.8339999999998</v>
      </c>
      <c r="CT18" s="1026">
        <f t="shared" si="9"/>
        <v>3465.0158999999999</v>
      </c>
    </row>
    <row r="19" spans="1:98" ht="25.5" customHeight="1" x14ac:dyDescent="0.3">
      <c r="A19" s="105" t="s">
        <v>96</v>
      </c>
      <c r="B19" s="103">
        <f t="shared" si="0"/>
        <v>9161835</v>
      </c>
      <c r="C19" s="103">
        <f t="shared" si="1"/>
        <v>5772968.1200000001</v>
      </c>
      <c r="D19" s="269">
        <f t="shared" si="2"/>
        <v>3888690</v>
      </c>
      <c r="E19" s="269">
        <f t="shared" si="3"/>
        <v>3888690</v>
      </c>
      <c r="F19" s="100">
        <f>'Проверочная  таблица'!DE20+'Проверочная  таблица'!DG20</f>
        <v>0</v>
      </c>
      <c r="G19" s="103">
        <f>'Проверочная  таблица'!DF20+'Проверочная  таблица'!DH20</f>
        <v>0</v>
      </c>
      <c r="H19" s="103">
        <f>'Проверочная  таблица'!DX20</f>
        <v>0</v>
      </c>
      <c r="I19" s="101">
        <f>'Проверочная  таблица'!EF20</f>
        <v>0</v>
      </c>
      <c r="J19" s="104">
        <f>'Проверочная  таблица'!DZ20</f>
        <v>0</v>
      </c>
      <c r="K19" s="103">
        <f>'Проверочная  таблица'!EH20</f>
        <v>0</v>
      </c>
      <c r="L19" s="103">
        <f>'Проверочная  таблица'!EU20</f>
        <v>0</v>
      </c>
      <c r="M19" s="103">
        <f>'Проверочная  таблица'!EX20</f>
        <v>0</v>
      </c>
      <c r="N19" s="103">
        <f>'Проверочная  таблица'!FA20</f>
        <v>0</v>
      </c>
      <c r="O19" s="101">
        <f>'Проверочная  таблица'!FD20</f>
        <v>0</v>
      </c>
      <c r="P19" s="104">
        <f>'Проверочная  таблица'!FG20</f>
        <v>2721180</v>
      </c>
      <c r="Q19" s="103">
        <f>'Проверочная  таблица'!FL20</f>
        <v>2721180</v>
      </c>
      <c r="R19" s="103">
        <f>'Проверочная  таблица'!FI20</f>
        <v>0</v>
      </c>
      <c r="S19" s="101">
        <f>'Проверочная  таблица'!FN20</f>
        <v>0</v>
      </c>
      <c r="T19" s="103">
        <f>'Проверочная  таблица'!FQ20</f>
        <v>0</v>
      </c>
      <c r="U19" s="101">
        <f>'Проверочная  таблица'!FT20</f>
        <v>0</v>
      </c>
      <c r="V19" s="104">
        <f>'Проверочная  таблица'!FW20</f>
        <v>0</v>
      </c>
      <c r="W19" s="101">
        <f>'Проверочная  таблица'!FZ20</f>
        <v>0</v>
      </c>
      <c r="X19" s="104">
        <f>'Проверочная  таблица'!GC20+'Проверочная  таблица'!GI20</f>
        <v>970725.91</v>
      </c>
      <c r="Y19" s="103">
        <f>'Проверочная  таблица'!GF20+'Проверочная  таблица'!GL20</f>
        <v>970725.91</v>
      </c>
      <c r="Z19" s="103">
        <f>'Проверочная  таблица'!HA20</f>
        <v>0</v>
      </c>
      <c r="AA19" s="101">
        <f>'Проверочная  таблица'!HD20</f>
        <v>0</v>
      </c>
      <c r="AB19" s="104">
        <f>'Проверочная  таблица'!HI20+'Проверочная  таблица'!IA20</f>
        <v>41364.730000000003</v>
      </c>
      <c r="AC19" s="101">
        <f>'Проверочная  таблица'!IJ20+'Проверочная  таблица'!HR20</f>
        <v>41364.730000000003</v>
      </c>
      <c r="AD19" s="104">
        <f>'Проверочная  таблица'!HK20+'Проверочная  таблица'!IC20</f>
        <v>155419.35999999999</v>
      </c>
      <c r="AE19" s="103">
        <f>'Проверочная  таблица'!IL20+'Проверочная  таблица'!HT20</f>
        <v>155419.35999999999</v>
      </c>
      <c r="AF19" s="103">
        <f>'Проверочная  таблица'!HM20+'Проверочная  таблица'!IE20</f>
        <v>0</v>
      </c>
      <c r="AG19" s="103">
        <f>'Проверочная  таблица'!HV20+'Проверочная  таблица'!IN20</f>
        <v>0</v>
      </c>
      <c r="AH19" s="103">
        <f>'Проверочная  таблица'!HG20+'Проверочная  таблица'!HY20</f>
        <v>0</v>
      </c>
      <c r="AI19" s="101">
        <f>'Проверочная  таблица'!IH20+'Проверочная  таблица'!HP20</f>
        <v>0</v>
      </c>
      <c r="AJ19" s="103">
        <f>'Проверочная  таблица'!KA20</f>
        <v>0</v>
      </c>
      <c r="AK19" s="103">
        <f>'Проверочная  таблица'!KF20</f>
        <v>0</v>
      </c>
      <c r="AL19" s="103">
        <f>'Проверочная  таблица'!KC20</f>
        <v>0</v>
      </c>
      <c r="AM19" s="103">
        <f>'Проверочная  таблица'!KH20</f>
        <v>0</v>
      </c>
      <c r="AN19" s="103">
        <f>'Проверочная  таблица'!KL20</f>
        <v>0</v>
      </c>
      <c r="AO19" s="101">
        <f>'Проверочная  таблица'!KR20</f>
        <v>0</v>
      </c>
      <c r="AP19" s="104">
        <f>'Проверочная  таблица'!KN20</f>
        <v>0</v>
      </c>
      <c r="AQ19" s="101">
        <f>'Проверочная  таблица'!KT20</f>
        <v>0</v>
      </c>
      <c r="AR19" s="103">
        <f>'Проверочная  таблица'!KX20</f>
        <v>0</v>
      </c>
      <c r="AS19" s="101">
        <f>'Проверочная  таблица'!LB20</f>
        <v>0</v>
      </c>
      <c r="AT19" s="104">
        <f>'Проверочная  таблица'!LI20+'Проверочная  таблица'!LW20</f>
        <v>0</v>
      </c>
      <c r="AU19" s="101">
        <f>'Проверочная  таблица'!LP20+'Проверочная  таблица'!MB20</f>
        <v>0</v>
      </c>
      <c r="AV19" s="104">
        <f>'Проверочная  таблица'!LK20+'Проверочная  таблица'!LY20</f>
        <v>0</v>
      </c>
      <c r="AW19" s="103">
        <f>'Проверочная  таблица'!LR20+'Проверочная  таблица'!MD20</f>
        <v>0</v>
      </c>
      <c r="AX19" s="103">
        <f>'Проверочная  таблица'!LM20</f>
        <v>0</v>
      </c>
      <c r="AY19" s="101">
        <f>'Проверочная  таблица'!LT20</f>
        <v>0</v>
      </c>
      <c r="AZ19" s="104">
        <f>'Проверочная  таблица'!NE20</f>
        <v>0</v>
      </c>
      <c r="BA19" s="101">
        <f>'Проверочная  таблица'!NH20</f>
        <v>0</v>
      </c>
      <c r="BB19" s="103">
        <f>'Проверочная  таблица'!NW20</f>
        <v>0</v>
      </c>
      <c r="BC19" s="103">
        <f>'Проверочная  таблица'!NZ20</f>
        <v>0</v>
      </c>
      <c r="BD19" s="101">
        <f>'Проверочная  таблица'!OW20+'Проверочная  таблица'!PM20</f>
        <v>0</v>
      </c>
      <c r="BE19" s="100">
        <f>'Проверочная  таблица'!PD20+'Проверочная  таблица'!PV20</f>
        <v>0</v>
      </c>
      <c r="BF19" s="103">
        <f>'Проверочная  таблица'!PI20</f>
        <v>0</v>
      </c>
      <c r="BG19" s="103">
        <f>'Проверочная  таблица'!PR20</f>
        <v>0</v>
      </c>
      <c r="BH19" s="103">
        <f>'Проверочная  таблица'!OU20+'Проверочная  таблица'!PK20</f>
        <v>0</v>
      </c>
      <c r="BI19" s="101">
        <f>'Проверочная  таблица'!PB20+'Проверочная  таблица'!PT20</f>
        <v>0</v>
      </c>
      <c r="BJ19" s="104">
        <f>'Проверочная  таблица'!OY20+'Проверочная  таблица'!PO20</f>
        <v>0</v>
      </c>
      <c r="BK19" s="103">
        <f>'Проверочная  таблица'!PF20+'Проверочная  таблица'!PX20</f>
        <v>0</v>
      </c>
      <c r="BL19" s="103">
        <f t="shared" si="4"/>
        <v>5273145</v>
      </c>
      <c r="BM19" s="101">
        <f t="shared" si="5"/>
        <v>1884278.12</v>
      </c>
      <c r="BN19" s="104">
        <f>'Проверочная  таблица'!SE20</f>
        <v>1166600</v>
      </c>
      <c r="BO19" s="101">
        <f>'Проверочная  таблица'!SF20</f>
        <v>730277.3</v>
      </c>
      <c r="BP19" s="100">
        <f>'Проверочная  таблица'!SG20</f>
        <v>0</v>
      </c>
      <c r="BQ19" s="100">
        <f>'Проверочная  таблица'!SH20</f>
        <v>0</v>
      </c>
      <c r="BR19" s="271">
        <f>'Проверочная  таблица'!SI20</f>
        <v>2506545</v>
      </c>
      <c r="BS19" s="163">
        <f>'Проверочная  таблица'!SJ20</f>
        <v>0</v>
      </c>
      <c r="BT19" s="165">
        <f>'Проверочная  таблица'!SK20</f>
        <v>0</v>
      </c>
      <c r="BU19" s="163">
        <f>'Проверочная  таблица'!SL20</f>
        <v>0</v>
      </c>
      <c r="BV19" s="165">
        <f>'Проверочная  таблица'!SM20</f>
        <v>0</v>
      </c>
      <c r="BW19" s="163">
        <f>'Проверочная  таблица'!SN20</f>
        <v>0</v>
      </c>
      <c r="BX19" s="271">
        <f>'Проверочная  таблица'!SO20</f>
        <v>0</v>
      </c>
      <c r="BY19" s="163">
        <f>'Проверочная  таблица'!SP20</f>
        <v>0</v>
      </c>
      <c r="BZ19" s="104">
        <f>'Проверочная  таблица'!SS20</f>
        <v>1600000</v>
      </c>
      <c r="CA19" s="103">
        <f>'Проверочная  таблица'!SV20</f>
        <v>1154000.82</v>
      </c>
      <c r="CB19" s="103">
        <f t="shared" si="6"/>
        <v>0</v>
      </c>
      <c r="CC19" s="101">
        <f t="shared" si="7"/>
        <v>0</v>
      </c>
      <c r="CD19" s="104">
        <f>'Проверочная  таблица'!TA20</f>
        <v>0</v>
      </c>
      <c r="CE19" s="103">
        <f>'Проверочная  таблица'!TJ20</f>
        <v>0</v>
      </c>
      <c r="CF19" s="101">
        <f>'Проверочная  таблица'!TC20</f>
        <v>0</v>
      </c>
      <c r="CG19" s="104">
        <f>'Проверочная  таблица'!TL20</f>
        <v>0</v>
      </c>
      <c r="CH19" s="103">
        <f>'Проверочная  таблица'!TE20</f>
        <v>0</v>
      </c>
      <c r="CI19" s="101">
        <f>'Проверочная  таблица'!TN20</f>
        <v>0</v>
      </c>
      <c r="CJ19" s="104">
        <f>'Проверочная  таблица'!TR20+'Проверочная  таблица'!TV20</f>
        <v>0</v>
      </c>
      <c r="CK19" s="101">
        <f>'Проверочная  таблица'!TT20+'Проверочная  таблица'!TX20</f>
        <v>0</v>
      </c>
      <c r="CL19" s="104">
        <f>'Проверочная  таблица'!UD20+'Проверочная  таблица'!UJ20</f>
        <v>0</v>
      </c>
      <c r="CM19" s="101">
        <f>'Проверочная  таблица'!UG20+'Проверочная  таблица'!UM20</f>
        <v>0</v>
      </c>
      <c r="CN19" s="104">
        <f>'Проверочная  таблица'!UE20+'Проверочная  таблица'!UK20</f>
        <v>0</v>
      </c>
      <c r="CO19" s="103">
        <f>'Проверочная  таблица'!UH20+'Проверочная  таблица'!UN20</f>
        <v>0</v>
      </c>
      <c r="CP19" s="103">
        <f>'Проверочная  таблица'!UU20</f>
        <v>0</v>
      </c>
      <c r="CQ19" s="101">
        <f>'Проверочная  таблица'!UX20</f>
        <v>0</v>
      </c>
      <c r="CS19" s="1026">
        <f t="shared" si="8"/>
        <v>4106.5450000000001</v>
      </c>
      <c r="CT19" s="1026">
        <f t="shared" si="9"/>
        <v>1154.00082</v>
      </c>
    </row>
    <row r="20" spans="1:98" ht="25.5" customHeight="1" x14ac:dyDescent="0.3">
      <c r="A20" s="102" t="s">
        <v>97</v>
      </c>
      <c r="B20" s="103">
        <f t="shared" si="0"/>
        <v>8046101.9100000001</v>
      </c>
      <c r="C20" s="103">
        <f t="shared" si="1"/>
        <v>4833650.8</v>
      </c>
      <c r="D20" s="269">
        <f t="shared" si="2"/>
        <v>3692733.91</v>
      </c>
      <c r="E20" s="269">
        <f t="shared" si="3"/>
        <v>971553.91</v>
      </c>
      <c r="F20" s="100">
        <f>'Проверочная  таблица'!DE21+'Проверочная  таблица'!DG21</f>
        <v>0</v>
      </c>
      <c r="G20" s="103">
        <f>'Проверочная  таблица'!DF21+'Проверочная  таблица'!DH21</f>
        <v>0</v>
      </c>
      <c r="H20" s="103">
        <f>'Проверочная  таблица'!DX21</f>
        <v>0</v>
      </c>
      <c r="I20" s="101">
        <f>'Проверочная  таблица'!EF21</f>
        <v>0</v>
      </c>
      <c r="J20" s="104">
        <f>'Проверочная  таблица'!DZ21</f>
        <v>0</v>
      </c>
      <c r="K20" s="103">
        <f>'Проверочная  таблица'!EH21</f>
        <v>0</v>
      </c>
      <c r="L20" s="103">
        <f>'Проверочная  таблица'!EU21</f>
        <v>0</v>
      </c>
      <c r="M20" s="103">
        <f>'Проверочная  таблица'!EX21</f>
        <v>0</v>
      </c>
      <c r="N20" s="103">
        <f>'Проверочная  таблица'!FA21</f>
        <v>0</v>
      </c>
      <c r="O20" s="101">
        <f>'Проверочная  таблица'!FD21</f>
        <v>0</v>
      </c>
      <c r="P20" s="104">
        <f>'Проверочная  таблица'!FG21</f>
        <v>2721180</v>
      </c>
      <c r="Q20" s="103">
        <f>'Проверочная  таблица'!FL21</f>
        <v>0</v>
      </c>
      <c r="R20" s="103">
        <f>'Проверочная  таблица'!FI21</f>
        <v>0</v>
      </c>
      <c r="S20" s="101">
        <f>'Проверочная  таблица'!FN21</f>
        <v>0</v>
      </c>
      <c r="T20" s="103">
        <f>'Проверочная  таблица'!FQ21</f>
        <v>0</v>
      </c>
      <c r="U20" s="101">
        <f>'Проверочная  таблица'!FT21</f>
        <v>0</v>
      </c>
      <c r="V20" s="104">
        <f>'Проверочная  таблица'!FW21</f>
        <v>0</v>
      </c>
      <c r="W20" s="101">
        <f>'Проверочная  таблица'!FZ21</f>
        <v>0</v>
      </c>
      <c r="X20" s="104">
        <f>'Проверочная  таблица'!GC21+'Проверочная  таблица'!GI21</f>
        <v>970726.62</v>
      </c>
      <c r="Y20" s="103">
        <f>'Проверочная  таблица'!GF21+'Проверочная  таблица'!GL21</f>
        <v>970726.62</v>
      </c>
      <c r="Z20" s="103">
        <f>'Проверочная  таблица'!HA21</f>
        <v>0</v>
      </c>
      <c r="AA20" s="101">
        <f>'Проверочная  таблица'!HD21</f>
        <v>0</v>
      </c>
      <c r="AB20" s="104">
        <f>'Проверочная  таблица'!HI21+'Проверочная  таблица'!IA21</f>
        <v>827.29</v>
      </c>
      <c r="AC20" s="101">
        <f>'Проверочная  таблица'!IJ21+'Проверочная  таблица'!HR21</f>
        <v>827.29</v>
      </c>
      <c r="AD20" s="104">
        <f>'Проверочная  таблица'!HK21+'Проверочная  таблица'!IC21</f>
        <v>0</v>
      </c>
      <c r="AE20" s="103">
        <f>'Проверочная  таблица'!IL21+'Проверочная  таблица'!HT21</f>
        <v>0</v>
      </c>
      <c r="AF20" s="103">
        <f>'Проверочная  таблица'!HM21+'Проверочная  таблица'!IE21</f>
        <v>0</v>
      </c>
      <c r="AG20" s="103">
        <f>'Проверочная  таблица'!HV21+'Проверочная  таблица'!IN21</f>
        <v>0</v>
      </c>
      <c r="AH20" s="103">
        <f>'Проверочная  таблица'!HG21+'Проверочная  таблица'!HY21</f>
        <v>0</v>
      </c>
      <c r="AI20" s="101">
        <f>'Проверочная  таблица'!IH21+'Проверочная  таблица'!HP21</f>
        <v>0</v>
      </c>
      <c r="AJ20" s="103">
        <f>'Проверочная  таблица'!KA21</f>
        <v>0</v>
      </c>
      <c r="AK20" s="103">
        <f>'Проверочная  таблица'!KF21</f>
        <v>0</v>
      </c>
      <c r="AL20" s="103">
        <f>'Проверочная  таблица'!KC21</f>
        <v>0</v>
      </c>
      <c r="AM20" s="103">
        <f>'Проверочная  таблица'!KH21</f>
        <v>0</v>
      </c>
      <c r="AN20" s="103">
        <f>'Проверочная  таблица'!KL21</f>
        <v>0</v>
      </c>
      <c r="AO20" s="101">
        <f>'Проверочная  таблица'!KR21</f>
        <v>0</v>
      </c>
      <c r="AP20" s="104">
        <f>'Проверочная  таблица'!KN21</f>
        <v>0</v>
      </c>
      <c r="AQ20" s="101">
        <f>'Проверочная  таблица'!KT21</f>
        <v>0</v>
      </c>
      <c r="AR20" s="103">
        <f>'Проверочная  таблица'!KX21</f>
        <v>0</v>
      </c>
      <c r="AS20" s="101">
        <f>'Проверочная  таблица'!LB21</f>
        <v>0</v>
      </c>
      <c r="AT20" s="104">
        <f>'Проверочная  таблица'!LI21+'Проверочная  таблица'!LW21</f>
        <v>0</v>
      </c>
      <c r="AU20" s="101">
        <f>'Проверочная  таблица'!LP21+'Проверочная  таблица'!MB21</f>
        <v>0</v>
      </c>
      <c r="AV20" s="104">
        <f>'Проверочная  таблица'!LK21+'Проверочная  таблица'!LY21</f>
        <v>0</v>
      </c>
      <c r="AW20" s="103">
        <f>'Проверочная  таблица'!LR21+'Проверочная  таблица'!MD21</f>
        <v>0</v>
      </c>
      <c r="AX20" s="103">
        <f>'Проверочная  таблица'!LM21</f>
        <v>0</v>
      </c>
      <c r="AY20" s="101">
        <f>'Проверочная  таблица'!LT21</f>
        <v>0</v>
      </c>
      <c r="AZ20" s="104">
        <f>'Проверочная  таблица'!NE21</f>
        <v>0</v>
      </c>
      <c r="BA20" s="101">
        <f>'Проверочная  таблица'!NH21</f>
        <v>0</v>
      </c>
      <c r="BB20" s="103">
        <f>'Проверочная  таблица'!NW21</f>
        <v>0</v>
      </c>
      <c r="BC20" s="103">
        <f>'Проверочная  таблица'!NZ21</f>
        <v>0</v>
      </c>
      <c r="BD20" s="101">
        <f>'Проверочная  таблица'!OW21+'Проверочная  таблица'!PM21</f>
        <v>0</v>
      </c>
      <c r="BE20" s="100">
        <f>'Проверочная  таблица'!PD21+'Проверочная  таблица'!PV21</f>
        <v>0</v>
      </c>
      <c r="BF20" s="103">
        <f>'Проверочная  таблица'!PI21</f>
        <v>0</v>
      </c>
      <c r="BG20" s="103">
        <f>'Проверочная  таблица'!PR21</f>
        <v>0</v>
      </c>
      <c r="BH20" s="103">
        <f>'Проверочная  таблица'!OU21+'Проверочная  таблица'!PK21</f>
        <v>0</v>
      </c>
      <c r="BI20" s="101">
        <f>'Проверочная  таблица'!PB21+'Проверочная  таблица'!PT21</f>
        <v>0</v>
      </c>
      <c r="BJ20" s="104">
        <f>'Проверочная  таблица'!OY21+'Проверочная  таблица'!PO21</f>
        <v>0</v>
      </c>
      <c r="BK20" s="103">
        <f>'Проверочная  таблица'!PF21+'Проверочная  таблица'!PX21</f>
        <v>0</v>
      </c>
      <c r="BL20" s="103">
        <f t="shared" si="4"/>
        <v>4353368</v>
      </c>
      <c r="BM20" s="101">
        <f t="shared" si="5"/>
        <v>3862096.89</v>
      </c>
      <c r="BN20" s="104">
        <f>'Проверочная  таблица'!SE21</f>
        <v>654100</v>
      </c>
      <c r="BO20" s="101">
        <f>'Проверочная  таблица'!SF21</f>
        <v>430343.35</v>
      </c>
      <c r="BP20" s="100">
        <f>'Проверочная  таблица'!SG21</f>
        <v>2000</v>
      </c>
      <c r="BQ20" s="100">
        <f>'Проверочная  таблица'!SH21</f>
        <v>0</v>
      </c>
      <c r="BR20" s="271">
        <f>'Проверочная  таблица'!SI21</f>
        <v>2397268.0000000005</v>
      </c>
      <c r="BS20" s="163">
        <f>'Проверочная  таблица'!SJ21</f>
        <v>2383632</v>
      </c>
      <c r="BT20" s="165">
        <f>'Проверочная  таблица'!SK21</f>
        <v>0</v>
      </c>
      <c r="BU20" s="163">
        <f>'Проверочная  таблица'!SL21</f>
        <v>0</v>
      </c>
      <c r="BV20" s="165">
        <f>'Проверочная  таблица'!SM21</f>
        <v>0</v>
      </c>
      <c r="BW20" s="163">
        <f>'Проверочная  таблица'!SN21</f>
        <v>0</v>
      </c>
      <c r="BX20" s="271">
        <f>'Проверочная  таблица'!SO21</f>
        <v>0</v>
      </c>
      <c r="BY20" s="163">
        <f>'Проверочная  таблица'!SP21</f>
        <v>0</v>
      </c>
      <c r="BZ20" s="104">
        <f>'Проверочная  таблица'!SS21</f>
        <v>1300000</v>
      </c>
      <c r="CA20" s="103">
        <f>'Проверочная  таблица'!SV21</f>
        <v>1048121.54</v>
      </c>
      <c r="CB20" s="103">
        <f t="shared" si="6"/>
        <v>0</v>
      </c>
      <c r="CC20" s="101">
        <f t="shared" si="7"/>
        <v>0</v>
      </c>
      <c r="CD20" s="104">
        <f>'Проверочная  таблица'!TA21</f>
        <v>0</v>
      </c>
      <c r="CE20" s="103">
        <f>'Проверочная  таблица'!TJ21</f>
        <v>0</v>
      </c>
      <c r="CF20" s="101">
        <f>'Проверочная  таблица'!TC21</f>
        <v>0</v>
      </c>
      <c r="CG20" s="104">
        <f>'Проверочная  таблица'!TL21</f>
        <v>0</v>
      </c>
      <c r="CH20" s="103">
        <f>'Проверочная  таблица'!TE21</f>
        <v>0</v>
      </c>
      <c r="CI20" s="101">
        <f>'Проверочная  таблица'!TN21</f>
        <v>0</v>
      </c>
      <c r="CJ20" s="104">
        <f>'Проверочная  таблица'!TR21+'Проверочная  таблица'!TV21</f>
        <v>0</v>
      </c>
      <c r="CK20" s="101">
        <f>'Проверочная  таблица'!TT21+'Проверочная  таблица'!TX21</f>
        <v>0</v>
      </c>
      <c r="CL20" s="104">
        <f>'Проверочная  таблица'!UD21+'Проверочная  таблица'!UJ21</f>
        <v>0</v>
      </c>
      <c r="CM20" s="101">
        <f>'Проверочная  таблица'!UG21+'Проверочная  таблица'!UM21</f>
        <v>0</v>
      </c>
      <c r="CN20" s="104">
        <f>'Проверочная  таблица'!UE21+'Проверочная  таблица'!UK21</f>
        <v>0</v>
      </c>
      <c r="CO20" s="103">
        <f>'Проверочная  таблица'!UH21+'Проверочная  таблица'!UN21</f>
        <v>0</v>
      </c>
      <c r="CP20" s="103">
        <f>'Проверочная  таблица'!UU21</f>
        <v>0</v>
      </c>
      <c r="CQ20" s="101">
        <f>'Проверочная  таблица'!UX21</f>
        <v>0</v>
      </c>
      <c r="CS20" s="1026">
        <f t="shared" si="8"/>
        <v>3699.268</v>
      </c>
      <c r="CT20" s="1026">
        <f t="shared" si="9"/>
        <v>3431.7535400000002</v>
      </c>
    </row>
    <row r="21" spans="1:98" ht="25.5" customHeight="1" x14ac:dyDescent="0.3">
      <c r="A21" s="105" t="s">
        <v>98</v>
      </c>
      <c r="B21" s="103">
        <f t="shared" si="0"/>
        <v>224679815.78</v>
      </c>
      <c r="C21" s="103">
        <f t="shared" si="1"/>
        <v>163341391.89999998</v>
      </c>
      <c r="D21" s="269">
        <f t="shared" si="2"/>
        <v>28749416.780000001</v>
      </c>
      <c r="E21" s="269">
        <f t="shared" si="3"/>
        <v>18091408</v>
      </c>
      <c r="F21" s="100">
        <f>'Проверочная  таблица'!DE22+'Проверочная  таблица'!DG22</f>
        <v>0</v>
      </c>
      <c r="G21" s="103">
        <f>'Проверочная  таблица'!DF22+'Проверочная  таблица'!DH22</f>
        <v>0</v>
      </c>
      <c r="H21" s="103">
        <f>'Проверочная  таблица'!DX22</f>
        <v>0</v>
      </c>
      <c r="I21" s="101">
        <f>'Проверочная  таблица'!EF22</f>
        <v>0</v>
      </c>
      <c r="J21" s="104">
        <f>'Проверочная  таблица'!DZ22</f>
        <v>0</v>
      </c>
      <c r="K21" s="103">
        <f>'Проверочная  таблица'!EH22</f>
        <v>0</v>
      </c>
      <c r="L21" s="103">
        <f>'Проверочная  таблица'!EU22</f>
        <v>0</v>
      </c>
      <c r="M21" s="103">
        <f>'Проверочная  таблица'!EX22</f>
        <v>0</v>
      </c>
      <c r="N21" s="103">
        <f>'Проверочная  таблица'!FA22</f>
        <v>0</v>
      </c>
      <c r="O21" s="101">
        <f>'Проверочная  таблица'!FD22</f>
        <v>0</v>
      </c>
      <c r="P21" s="104">
        <f>'Проверочная  таблица'!FG22</f>
        <v>0</v>
      </c>
      <c r="Q21" s="103">
        <f>'Проверочная  таблица'!FL22</f>
        <v>0</v>
      </c>
      <c r="R21" s="103">
        <f>'Проверочная  таблица'!FI22</f>
        <v>0</v>
      </c>
      <c r="S21" s="101">
        <f>'Проверочная  таблица'!FN22</f>
        <v>0</v>
      </c>
      <c r="T21" s="103">
        <f>'Проверочная  таблица'!FQ22</f>
        <v>0</v>
      </c>
      <c r="U21" s="101">
        <f>'Проверочная  таблица'!FT22</f>
        <v>0</v>
      </c>
      <c r="V21" s="104">
        <f>'Проверочная  таблица'!FW22</f>
        <v>0</v>
      </c>
      <c r="W21" s="101">
        <f>'Проверочная  таблица'!FZ22</f>
        <v>0</v>
      </c>
      <c r="X21" s="104">
        <f>'Проверочная  таблица'!GC22+'Проверочная  таблица'!GI22</f>
        <v>1079997.94</v>
      </c>
      <c r="Y21" s="103">
        <f>'Проверочная  таблица'!GF22+'Проверочная  таблица'!GL22</f>
        <v>1079997.94</v>
      </c>
      <c r="Z21" s="103">
        <f>'Проверочная  таблица'!HA22</f>
        <v>0</v>
      </c>
      <c r="AA21" s="101">
        <f>'Проверочная  таблица'!HD22</f>
        <v>0</v>
      </c>
      <c r="AB21" s="104">
        <f>'Проверочная  таблица'!HI22+'Проверочная  таблица'!IA22</f>
        <v>24818.84</v>
      </c>
      <c r="AC21" s="101">
        <f>'Проверочная  таблица'!IJ22+'Проверочная  таблица'!HR22</f>
        <v>24818.84</v>
      </c>
      <c r="AD21" s="104">
        <f>'Проверочная  таблица'!HK22+'Проверочная  таблица'!IC22</f>
        <v>0</v>
      </c>
      <c r="AE21" s="103">
        <f>'Проверочная  таблица'!IL22+'Проверочная  таблица'!HT22</f>
        <v>0</v>
      </c>
      <c r="AF21" s="103">
        <f>'Проверочная  таблица'!HM22+'Проверочная  таблица'!IE22</f>
        <v>0</v>
      </c>
      <c r="AG21" s="103">
        <f>'Проверочная  таблица'!HV22+'Проверочная  таблица'!IN22</f>
        <v>0</v>
      </c>
      <c r="AH21" s="103">
        <f>'Проверочная  таблица'!HG22+'Проверочная  таблица'!HY22</f>
        <v>14819600</v>
      </c>
      <c r="AI21" s="101">
        <f>'Проверочная  таблица'!IH22+'Проверочная  таблица'!HP22</f>
        <v>4237583.62</v>
      </c>
      <c r="AJ21" s="103">
        <f>'Проверочная  таблица'!KA22</f>
        <v>0</v>
      </c>
      <c r="AK21" s="103">
        <f>'Проверочная  таблица'!KF22</f>
        <v>0</v>
      </c>
      <c r="AL21" s="103">
        <f>'Проверочная  таблица'!KC22</f>
        <v>0</v>
      </c>
      <c r="AM21" s="103">
        <f>'Проверочная  таблица'!KH22</f>
        <v>0</v>
      </c>
      <c r="AN21" s="103">
        <f>'Проверочная  таблица'!KL22</f>
        <v>0</v>
      </c>
      <c r="AO21" s="101">
        <f>'Проверочная  таблица'!KR22</f>
        <v>0</v>
      </c>
      <c r="AP21" s="104">
        <f>'Проверочная  таблица'!KN22</f>
        <v>0</v>
      </c>
      <c r="AQ21" s="101">
        <f>'Проверочная  таблица'!KT22</f>
        <v>0</v>
      </c>
      <c r="AR21" s="103">
        <f>'Проверочная  таблица'!KX22</f>
        <v>0</v>
      </c>
      <c r="AS21" s="101">
        <f>'Проверочная  таблица'!LB22</f>
        <v>0</v>
      </c>
      <c r="AT21" s="104">
        <f>'Проверочная  таблица'!LI22+'Проверочная  таблица'!LW22</f>
        <v>5225000</v>
      </c>
      <c r="AU21" s="101">
        <f>'Проверочная  таблица'!LP22+'Проверочная  таблица'!MB22</f>
        <v>5225000</v>
      </c>
      <c r="AV21" s="104">
        <f>'Проверочная  таблица'!LK22+'Проверочная  таблица'!LY22</f>
        <v>7600000</v>
      </c>
      <c r="AW21" s="103">
        <f>'Проверочная  таблица'!LR22+'Проверочная  таблица'!MD22</f>
        <v>7524007.5999999996</v>
      </c>
      <c r="AX21" s="103">
        <f>'Проверочная  таблица'!LM22</f>
        <v>0</v>
      </c>
      <c r="AY21" s="101">
        <f>'Проверочная  таблица'!LT22</f>
        <v>0</v>
      </c>
      <c r="AZ21" s="104">
        <f>'Проверочная  таблица'!NE22</f>
        <v>0</v>
      </c>
      <c r="BA21" s="101">
        <f>'Проверочная  таблица'!NH22</f>
        <v>0</v>
      </c>
      <c r="BB21" s="103">
        <f>'Проверочная  таблица'!NW22</f>
        <v>0</v>
      </c>
      <c r="BC21" s="103">
        <f>'Проверочная  таблица'!NZ22</f>
        <v>0</v>
      </c>
      <c r="BD21" s="101">
        <f>'Проверочная  таблица'!OW22+'Проверочная  таблица'!PM22</f>
        <v>0</v>
      </c>
      <c r="BE21" s="100">
        <f>'Проверочная  таблица'!PD22+'Проверочная  таблица'!PV22</f>
        <v>0</v>
      </c>
      <c r="BF21" s="103">
        <f>'Проверочная  таблица'!PI22</f>
        <v>0</v>
      </c>
      <c r="BG21" s="103">
        <f>'Проверочная  таблица'!PR22</f>
        <v>0</v>
      </c>
      <c r="BH21" s="103">
        <f>'Проверочная  таблица'!OU22+'Проверочная  таблица'!PK22</f>
        <v>0</v>
      </c>
      <c r="BI21" s="101">
        <f>'Проверочная  таблица'!PB22+'Проверочная  таблица'!PT22</f>
        <v>0</v>
      </c>
      <c r="BJ21" s="104">
        <f>'Проверочная  таблица'!OY22+'Проверочная  таблица'!PO22</f>
        <v>0</v>
      </c>
      <c r="BK21" s="103">
        <f>'Проверочная  таблица'!PF22+'Проверочная  таблица'!PX22</f>
        <v>0</v>
      </c>
      <c r="BL21" s="103">
        <f t="shared" si="4"/>
        <v>5930399</v>
      </c>
      <c r="BM21" s="101">
        <f t="shared" si="5"/>
        <v>4488377.1399999997</v>
      </c>
      <c r="BN21" s="104">
        <f>'Проверочная  таблица'!SE22</f>
        <v>1765900</v>
      </c>
      <c r="BO21" s="101">
        <f>'Проверочная  таблица'!SF22</f>
        <v>1041471.01</v>
      </c>
      <c r="BP21" s="100">
        <f>'Проверочная  таблица'!SG22</f>
        <v>4000</v>
      </c>
      <c r="BQ21" s="100">
        <f>'Проверочная  таблица'!SH22</f>
        <v>0</v>
      </c>
      <c r="BR21" s="271">
        <f>'Проверочная  таблица'!SI22</f>
        <v>1198634.0000000002</v>
      </c>
      <c r="BS21" s="163">
        <f>'Проверочная  таблица'!SJ22</f>
        <v>1191816</v>
      </c>
      <c r="BT21" s="165">
        <f>'Проверочная  таблица'!SK22</f>
        <v>0</v>
      </c>
      <c r="BU21" s="163">
        <f>'Проверочная  таблица'!SL22</f>
        <v>0</v>
      </c>
      <c r="BV21" s="165">
        <f>'Проверочная  таблица'!SM22</f>
        <v>611865</v>
      </c>
      <c r="BW21" s="163">
        <f>'Проверочная  таблица'!SN22</f>
        <v>595908</v>
      </c>
      <c r="BX21" s="271">
        <f>'Проверочная  таблица'!SO22</f>
        <v>0</v>
      </c>
      <c r="BY21" s="163">
        <f>'Проверочная  таблица'!SP22</f>
        <v>0</v>
      </c>
      <c r="BZ21" s="104">
        <f>'Проверочная  таблица'!SS22</f>
        <v>2350000</v>
      </c>
      <c r="CA21" s="103">
        <f>'Проверочная  таблица'!SV22</f>
        <v>1659182.13</v>
      </c>
      <c r="CB21" s="103">
        <f t="shared" si="6"/>
        <v>190000000</v>
      </c>
      <c r="CC21" s="101">
        <f t="shared" si="7"/>
        <v>140761606.75999999</v>
      </c>
      <c r="CD21" s="104">
        <f>'Проверочная  таблица'!TA22</f>
        <v>0</v>
      </c>
      <c r="CE21" s="103">
        <f>'Проверочная  таблица'!TJ22</f>
        <v>0</v>
      </c>
      <c r="CF21" s="101">
        <f>'Проверочная  таблица'!TC22</f>
        <v>0</v>
      </c>
      <c r="CG21" s="104">
        <f>'Проверочная  таблица'!TL22</f>
        <v>0</v>
      </c>
      <c r="CH21" s="103">
        <f>'Проверочная  таблица'!TE22</f>
        <v>0</v>
      </c>
      <c r="CI21" s="101">
        <f>'Проверочная  таблица'!TN22</f>
        <v>0</v>
      </c>
      <c r="CJ21" s="104">
        <f>'Проверочная  таблица'!TR22+'Проверочная  таблица'!TV22</f>
        <v>190000000</v>
      </c>
      <c r="CK21" s="101">
        <f>'Проверочная  таблица'!TT22+'Проверочная  таблица'!TX22</f>
        <v>140761606.75999999</v>
      </c>
      <c r="CL21" s="104">
        <f>'Проверочная  таблица'!UD22+'Проверочная  таблица'!UJ22</f>
        <v>0</v>
      </c>
      <c r="CM21" s="101">
        <f>'Проверочная  таблица'!UG22+'Проверочная  таблица'!UM22</f>
        <v>0</v>
      </c>
      <c r="CN21" s="104">
        <f>'Проверочная  таблица'!UE22+'Проверочная  таблица'!UK22</f>
        <v>0</v>
      </c>
      <c r="CO21" s="103">
        <f>'Проверочная  таблица'!UH22+'Проверочная  таблица'!UN22</f>
        <v>0</v>
      </c>
      <c r="CP21" s="103">
        <f>'Проверочная  таблица'!UU22</f>
        <v>0</v>
      </c>
      <c r="CQ21" s="101">
        <f>'Проверочная  таблица'!UX22</f>
        <v>0</v>
      </c>
      <c r="CS21" s="1026">
        <f t="shared" si="8"/>
        <v>4164.4989999999998</v>
      </c>
      <c r="CT21" s="1026">
        <f t="shared" si="9"/>
        <v>3446.9061299999998</v>
      </c>
    </row>
    <row r="22" spans="1:98" ht="25.5" customHeight="1" x14ac:dyDescent="0.3">
      <c r="A22" s="102" t="s">
        <v>99</v>
      </c>
      <c r="B22" s="103">
        <f t="shared" si="0"/>
        <v>7314464.7400000002</v>
      </c>
      <c r="C22" s="103">
        <f t="shared" si="1"/>
        <v>3299626.5</v>
      </c>
      <c r="D22" s="269">
        <f t="shared" si="2"/>
        <v>3991830.74</v>
      </c>
      <c r="E22" s="269">
        <f t="shared" si="3"/>
        <v>981480.74</v>
      </c>
      <c r="F22" s="100">
        <f>'Проверочная  таблица'!DE23+'Проверочная  таблица'!DG23</f>
        <v>0</v>
      </c>
      <c r="G22" s="103">
        <f>'Проверочная  таблица'!DF23+'Проверочная  таблица'!DH23</f>
        <v>0</v>
      </c>
      <c r="H22" s="103">
        <f>'Проверочная  таблица'!DX23</f>
        <v>0</v>
      </c>
      <c r="I22" s="101">
        <f>'Проверочная  таблица'!EF23</f>
        <v>0</v>
      </c>
      <c r="J22" s="104">
        <f>'Проверочная  таблица'!DZ23</f>
        <v>0</v>
      </c>
      <c r="K22" s="103">
        <f>'Проверочная  таблица'!EH23</f>
        <v>0</v>
      </c>
      <c r="L22" s="103">
        <f>'Проверочная  таблица'!EU23</f>
        <v>3010350</v>
      </c>
      <c r="M22" s="103">
        <f>'Проверочная  таблица'!EX23</f>
        <v>0</v>
      </c>
      <c r="N22" s="103">
        <f>'Проверочная  таблица'!FA23</f>
        <v>0</v>
      </c>
      <c r="O22" s="101">
        <f>'Проверочная  таблица'!FD23</f>
        <v>0</v>
      </c>
      <c r="P22" s="104">
        <f>'Проверочная  таблица'!FG23</f>
        <v>0</v>
      </c>
      <c r="Q22" s="103">
        <f>'Проверочная  таблица'!FL23</f>
        <v>0</v>
      </c>
      <c r="R22" s="103">
        <f>'Проверочная  таблица'!FI23</f>
        <v>0</v>
      </c>
      <c r="S22" s="101">
        <f>'Проверочная  таблица'!FN23</f>
        <v>0</v>
      </c>
      <c r="T22" s="103">
        <f>'Проверочная  таблица'!FQ23</f>
        <v>0</v>
      </c>
      <c r="U22" s="101">
        <f>'Проверочная  таблица'!FT23</f>
        <v>0</v>
      </c>
      <c r="V22" s="104">
        <f>'Проверочная  таблица'!FW23</f>
        <v>0</v>
      </c>
      <c r="W22" s="101">
        <f>'Проверочная  таблица'!FZ23</f>
        <v>0</v>
      </c>
      <c r="X22" s="104">
        <f>'Проверочная  таблица'!GC23+'Проверочная  таблица'!GI23</f>
        <v>970725.91</v>
      </c>
      <c r="Y22" s="103">
        <f>'Проверочная  таблица'!GF23+'Проверочная  таблица'!GL23</f>
        <v>970725.91</v>
      </c>
      <c r="Z22" s="103">
        <f>'Проверочная  таблица'!HA23</f>
        <v>0</v>
      </c>
      <c r="AA22" s="101">
        <f>'Проверочная  таблица'!HD23</f>
        <v>0</v>
      </c>
      <c r="AB22" s="104">
        <f>'Проверочная  таблица'!HI23+'Проверочная  таблица'!IA23</f>
        <v>10754.83</v>
      </c>
      <c r="AC22" s="101">
        <f>'Проверочная  таблица'!IJ23+'Проверочная  таблица'!HR23</f>
        <v>10754.83</v>
      </c>
      <c r="AD22" s="104">
        <f>'Проверочная  таблица'!HK23+'Проверочная  таблица'!IC23</f>
        <v>0</v>
      </c>
      <c r="AE22" s="103">
        <f>'Проверочная  таблица'!IL23+'Проверочная  таблица'!HT23</f>
        <v>0</v>
      </c>
      <c r="AF22" s="103">
        <f>'Проверочная  таблица'!HM23+'Проверочная  таблица'!IE23</f>
        <v>0</v>
      </c>
      <c r="AG22" s="103">
        <f>'Проверочная  таблица'!HV23+'Проверочная  таблица'!IN23</f>
        <v>0</v>
      </c>
      <c r="AH22" s="103">
        <f>'Проверочная  таблица'!HG23+'Проверочная  таблица'!HY23</f>
        <v>0</v>
      </c>
      <c r="AI22" s="101">
        <f>'Проверочная  таблица'!IH23+'Проверочная  таблица'!HP23</f>
        <v>0</v>
      </c>
      <c r="AJ22" s="103">
        <f>'Проверочная  таблица'!KA23</f>
        <v>0</v>
      </c>
      <c r="AK22" s="103">
        <f>'Проверочная  таблица'!KF23</f>
        <v>0</v>
      </c>
      <c r="AL22" s="103">
        <f>'Проверочная  таблица'!KC23</f>
        <v>0</v>
      </c>
      <c r="AM22" s="103">
        <f>'Проверочная  таблица'!KH23</f>
        <v>0</v>
      </c>
      <c r="AN22" s="103">
        <f>'Проверочная  таблица'!KL23</f>
        <v>0</v>
      </c>
      <c r="AO22" s="101">
        <f>'Проверочная  таблица'!KR23</f>
        <v>0</v>
      </c>
      <c r="AP22" s="104">
        <f>'Проверочная  таблица'!KN23</f>
        <v>0</v>
      </c>
      <c r="AQ22" s="101">
        <f>'Проверочная  таблица'!KT23</f>
        <v>0</v>
      </c>
      <c r="AR22" s="103">
        <f>'Проверочная  таблица'!KX23</f>
        <v>0</v>
      </c>
      <c r="AS22" s="101">
        <f>'Проверочная  таблица'!LB23</f>
        <v>0</v>
      </c>
      <c r="AT22" s="104">
        <f>'Проверочная  таблица'!LI23+'Проверочная  таблица'!LW23</f>
        <v>0</v>
      </c>
      <c r="AU22" s="101">
        <f>'Проверочная  таблица'!LP23+'Проверочная  таблица'!MB23</f>
        <v>0</v>
      </c>
      <c r="AV22" s="104">
        <f>'Проверочная  таблица'!LK23+'Проверочная  таблица'!LY23</f>
        <v>0</v>
      </c>
      <c r="AW22" s="103">
        <f>'Проверочная  таблица'!LR23+'Проверочная  таблица'!MD23</f>
        <v>0</v>
      </c>
      <c r="AX22" s="103">
        <f>'Проверочная  таблица'!LM23</f>
        <v>0</v>
      </c>
      <c r="AY22" s="101">
        <f>'Проверочная  таблица'!LT23</f>
        <v>0</v>
      </c>
      <c r="AZ22" s="104">
        <f>'Проверочная  таблица'!NE23</f>
        <v>0</v>
      </c>
      <c r="BA22" s="101">
        <f>'Проверочная  таблица'!NH23</f>
        <v>0</v>
      </c>
      <c r="BB22" s="103">
        <f>'Проверочная  таблица'!NW23</f>
        <v>0</v>
      </c>
      <c r="BC22" s="103">
        <f>'Проверочная  таблица'!NZ23</f>
        <v>0</v>
      </c>
      <c r="BD22" s="101">
        <f>'Проверочная  таблица'!OW23+'Проверочная  таблица'!PM23</f>
        <v>0</v>
      </c>
      <c r="BE22" s="100">
        <f>'Проверочная  таблица'!PD23+'Проверочная  таблица'!PV23</f>
        <v>0</v>
      </c>
      <c r="BF22" s="103">
        <f>'Проверочная  таблица'!PI23</f>
        <v>0</v>
      </c>
      <c r="BG22" s="103">
        <f>'Проверочная  таблица'!PR23</f>
        <v>0</v>
      </c>
      <c r="BH22" s="103">
        <f>'Проверочная  таблица'!OU23+'Проверочная  таблица'!PK23</f>
        <v>0</v>
      </c>
      <c r="BI22" s="101">
        <f>'Проверочная  таблица'!PB23+'Проверочная  таблица'!PT23</f>
        <v>0</v>
      </c>
      <c r="BJ22" s="104">
        <f>'Проверочная  таблица'!OY23+'Проверочная  таблица'!PO23</f>
        <v>0</v>
      </c>
      <c r="BK22" s="103">
        <f>'Проверочная  таблица'!PF23+'Проверочная  таблица'!PX23</f>
        <v>0</v>
      </c>
      <c r="BL22" s="103">
        <f t="shared" si="4"/>
        <v>3322634</v>
      </c>
      <c r="BM22" s="101">
        <f t="shared" si="5"/>
        <v>2318145.7599999998</v>
      </c>
      <c r="BN22" s="104">
        <f>'Проверочная  таблица'!SE23</f>
        <v>824000</v>
      </c>
      <c r="BO22" s="101">
        <f>'Проверочная  таблица'!SF23</f>
        <v>418305.46</v>
      </c>
      <c r="BP22" s="100">
        <f>'Проверочная  таблица'!SG23</f>
        <v>0</v>
      </c>
      <c r="BQ22" s="100">
        <f>'Проверочная  таблица'!SH23</f>
        <v>0</v>
      </c>
      <c r="BR22" s="271">
        <f>'Проверочная  таблица'!SI23</f>
        <v>1198634.0000000002</v>
      </c>
      <c r="BS22" s="163">
        <f>'Проверочная  таблица'!SJ23</f>
        <v>1191816</v>
      </c>
      <c r="BT22" s="165">
        <f>'Проверочная  таблица'!SK23</f>
        <v>0</v>
      </c>
      <c r="BU22" s="163">
        <f>'Проверочная  таблица'!SL23</f>
        <v>0</v>
      </c>
      <c r="BV22" s="165">
        <f>'Проверочная  таблица'!SM23</f>
        <v>0</v>
      </c>
      <c r="BW22" s="163">
        <f>'Проверочная  таблица'!SN23</f>
        <v>0</v>
      </c>
      <c r="BX22" s="271">
        <f>'Проверочная  таблица'!SO23</f>
        <v>0</v>
      </c>
      <c r="BY22" s="163">
        <f>'Проверочная  таблица'!SP23</f>
        <v>0</v>
      </c>
      <c r="BZ22" s="104">
        <f>'Проверочная  таблица'!SS23</f>
        <v>1300000</v>
      </c>
      <c r="CA22" s="103">
        <f>'Проверочная  таблица'!SV23</f>
        <v>708024.3</v>
      </c>
      <c r="CB22" s="103">
        <f t="shared" si="6"/>
        <v>0</v>
      </c>
      <c r="CC22" s="101">
        <f t="shared" si="7"/>
        <v>0</v>
      </c>
      <c r="CD22" s="104">
        <f>'Проверочная  таблица'!TA23</f>
        <v>0</v>
      </c>
      <c r="CE22" s="103">
        <f>'Проверочная  таблица'!TJ23</f>
        <v>0</v>
      </c>
      <c r="CF22" s="101">
        <f>'Проверочная  таблица'!TC23</f>
        <v>0</v>
      </c>
      <c r="CG22" s="104">
        <f>'Проверочная  таблица'!TL23</f>
        <v>0</v>
      </c>
      <c r="CH22" s="103">
        <f>'Проверочная  таблица'!TE23</f>
        <v>0</v>
      </c>
      <c r="CI22" s="101">
        <f>'Проверочная  таблица'!TN23</f>
        <v>0</v>
      </c>
      <c r="CJ22" s="104">
        <f>'Проверочная  таблица'!TR23+'Проверочная  таблица'!TV23</f>
        <v>0</v>
      </c>
      <c r="CK22" s="101">
        <f>'Проверочная  таблица'!TT23+'Проверочная  таблица'!TX23</f>
        <v>0</v>
      </c>
      <c r="CL22" s="104">
        <f>'Проверочная  таблица'!UD23+'Проверочная  таблица'!UJ23</f>
        <v>0</v>
      </c>
      <c r="CM22" s="101">
        <f>'Проверочная  таблица'!UG23+'Проверочная  таблица'!UM23</f>
        <v>0</v>
      </c>
      <c r="CN22" s="104">
        <f>'Проверочная  таблица'!UE23+'Проверочная  таблица'!UK23</f>
        <v>0</v>
      </c>
      <c r="CO22" s="103">
        <f>'Проверочная  таблица'!UH23+'Проверочная  таблица'!UN23</f>
        <v>0</v>
      </c>
      <c r="CP22" s="103">
        <f>'Проверочная  таблица'!UU23</f>
        <v>0</v>
      </c>
      <c r="CQ22" s="101">
        <f>'Проверочная  таблица'!UX23</f>
        <v>0</v>
      </c>
      <c r="CS22" s="1026">
        <f t="shared" si="8"/>
        <v>2498.634</v>
      </c>
      <c r="CT22" s="1026">
        <f t="shared" si="9"/>
        <v>1899.8402999999998</v>
      </c>
    </row>
    <row r="23" spans="1:98" ht="25.5" customHeight="1" x14ac:dyDescent="0.3">
      <c r="A23" s="105" t="s">
        <v>100</v>
      </c>
      <c r="B23" s="103">
        <f t="shared" si="0"/>
        <v>121471389.44</v>
      </c>
      <c r="C23" s="103">
        <f t="shared" si="1"/>
        <v>35313896.879999995</v>
      </c>
      <c r="D23" s="269">
        <f t="shared" si="2"/>
        <v>113633359.44</v>
      </c>
      <c r="E23" s="269">
        <f t="shared" si="3"/>
        <v>29096430.27</v>
      </c>
      <c r="F23" s="100">
        <f>'Проверочная  таблица'!DE24+'Проверочная  таблица'!DG24</f>
        <v>0</v>
      </c>
      <c r="G23" s="103">
        <f>'Проверочная  таблица'!DF24+'Проверочная  таблица'!DH24</f>
        <v>0</v>
      </c>
      <c r="H23" s="103">
        <f>'Проверочная  таблица'!DX24</f>
        <v>0</v>
      </c>
      <c r="I23" s="101">
        <f>'Проверочная  таблица'!EF24</f>
        <v>0</v>
      </c>
      <c r="J23" s="104">
        <f>'Проверочная  таблица'!DZ24</f>
        <v>0</v>
      </c>
      <c r="K23" s="103">
        <f>'Проверочная  таблица'!EH24</f>
        <v>0</v>
      </c>
      <c r="L23" s="103">
        <f>'Проверочная  таблица'!EU24</f>
        <v>0</v>
      </c>
      <c r="M23" s="103">
        <f>'Проверочная  таблица'!EX24</f>
        <v>0</v>
      </c>
      <c r="N23" s="103">
        <f>'Проверочная  таблица'!FA24</f>
        <v>0</v>
      </c>
      <c r="O23" s="101">
        <f>'Проверочная  таблица'!FD24</f>
        <v>0</v>
      </c>
      <c r="P23" s="104">
        <f>'Проверочная  таблица'!FG24</f>
        <v>2721180</v>
      </c>
      <c r="Q23" s="103">
        <f>'Проверочная  таблица'!FL24</f>
        <v>0</v>
      </c>
      <c r="R23" s="103">
        <f>'Проверочная  таблица'!FI24</f>
        <v>0</v>
      </c>
      <c r="S23" s="101">
        <f>'Проверочная  таблица'!FN24</f>
        <v>0</v>
      </c>
      <c r="T23" s="103">
        <f>'Проверочная  таблица'!FQ24</f>
        <v>109931525.98999999</v>
      </c>
      <c r="U23" s="101">
        <f>'Проверочная  таблица'!FT24</f>
        <v>28115776.82</v>
      </c>
      <c r="V23" s="104">
        <f>'Проверочная  таблица'!FW24</f>
        <v>0</v>
      </c>
      <c r="W23" s="101">
        <f>'Проверочная  таблица'!FZ24</f>
        <v>0</v>
      </c>
      <c r="X23" s="104">
        <f>'Проверочная  таблица'!GC24+'Проверочная  таблица'!GI24</f>
        <v>970725.91</v>
      </c>
      <c r="Y23" s="103">
        <f>'Проверочная  таблица'!GF24+'Проверочная  таблица'!GL24</f>
        <v>970725.91</v>
      </c>
      <c r="Z23" s="103">
        <f>'Проверочная  таблица'!HA24</f>
        <v>0</v>
      </c>
      <c r="AA23" s="101">
        <f>'Проверочная  таблица'!HD24</f>
        <v>0</v>
      </c>
      <c r="AB23" s="104">
        <f>'Проверочная  таблица'!HI24+'Проверочная  таблица'!IA24</f>
        <v>9927.5400000000009</v>
      </c>
      <c r="AC23" s="101">
        <f>'Проверочная  таблица'!IJ24+'Проверочная  таблица'!HR24</f>
        <v>9927.5400000000009</v>
      </c>
      <c r="AD23" s="104">
        <f>'Проверочная  таблица'!HK24+'Проверочная  таблица'!IC24</f>
        <v>0</v>
      </c>
      <c r="AE23" s="103">
        <f>'Проверочная  таблица'!IL24+'Проверочная  таблица'!HT24</f>
        <v>0</v>
      </c>
      <c r="AF23" s="103">
        <f>'Проверочная  таблица'!HM24+'Проверочная  таблица'!IE24</f>
        <v>0</v>
      </c>
      <c r="AG23" s="103">
        <f>'Проверочная  таблица'!HV24+'Проверочная  таблица'!IN24</f>
        <v>0</v>
      </c>
      <c r="AH23" s="103">
        <f>'Проверочная  таблица'!HG24+'Проверочная  таблица'!HY24</f>
        <v>0</v>
      </c>
      <c r="AI23" s="101">
        <f>'Проверочная  таблица'!IH24+'Проверочная  таблица'!HP24</f>
        <v>0</v>
      </c>
      <c r="AJ23" s="103">
        <f>'Проверочная  таблица'!KA24</f>
        <v>0</v>
      </c>
      <c r="AK23" s="103">
        <f>'Проверочная  таблица'!KF24</f>
        <v>0</v>
      </c>
      <c r="AL23" s="103">
        <f>'Проверочная  таблица'!KC24</f>
        <v>0</v>
      </c>
      <c r="AM23" s="103">
        <f>'Проверочная  таблица'!KH24</f>
        <v>0</v>
      </c>
      <c r="AN23" s="103">
        <f>'Проверочная  таблица'!KL24</f>
        <v>0</v>
      </c>
      <c r="AO23" s="101">
        <f>'Проверочная  таблица'!KR24</f>
        <v>0</v>
      </c>
      <c r="AP23" s="104">
        <f>'Проверочная  таблица'!KN24</f>
        <v>0</v>
      </c>
      <c r="AQ23" s="101">
        <f>'Проверочная  таблица'!KT24</f>
        <v>0</v>
      </c>
      <c r="AR23" s="103">
        <f>'Проверочная  таблица'!KX24</f>
        <v>0</v>
      </c>
      <c r="AS23" s="101">
        <f>'Проверочная  таблица'!LB24</f>
        <v>0</v>
      </c>
      <c r="AT23" s="104">
        <f>'Проверочная  таблица'!LI24+'Проверочная  таблица'!LW24</f>
        <v>0</v>
      </c>
      <c r="AU23" s="101">
        <f>'Проверочная  таблица'!LP24+'Проверочная  таблица'!MB24</f>
        <v>0</v>
      </c>
      <c r="AV23" s="104">
        <f>'Проверочная  таблица'!LK24+'Проверочная  таблица'!LY24</f>
        <v>0</v>
      </c>
      <c r="AW23" s="103">
        <f>'Проверочная  таблица'!LR24+'Проверочная  таблица'!MD24</f>
        <v>0</v>
      </c>
      <c r="AX23" s="103">
        <f>'Проверочная  таблица'!LM24</f>
        <v>0</v>
      </c>
      <c r="AY23" s="101">
        <f>'Проверочная  таблица'!LT24</f>
        <v>0</v>
      </c>
      <c r="AZ23" s="104">
        <f>'Проверочная  таблица'!NE24</f>
        <v>0</v>
      </c>
      <c r="BA23" s="101">
        <f>'Проверочная  таблица'!NH24</f>
        <v>0</v>
      </c>
      <c r="BB23" s="103">
        <f>'Проверочная  таблица'!NW24</f>
        <v>0</v>
      </c>
      <c r="BC23" s="103">
        <f>'Проверочная  таблица'!NZ24</f>
        <v>0</v>
      </c>
      <c r="BD23" s="101">
        <f>'Проверочная  таблица'!OW24+'Проверочная  таблица'!PM24</f>
        <v>0</v>
      </c>
      <c r="BE23" s="100">
        <f>'Проверочная  таблица'!PD24+'Проверочная  таблица'!PV24</f>
        <v>0</v>
      </c>
      <c r="BF23" s="103">
        <f>'Проверочная  таблица'!PI24</f>
        <v>0</v>
      </c>
      <c r="BG23" s="103">
        <f>'Проверочная  таблица'!PR24</f>
        <v>0</v>
      </c>
      <c r="BH23" s="103">
        <f>'Проверочная  таблица'!OU24+'Проверочная  таблица'!PK24</f>
        <v>0</v>
      </c>
      <c r="BI23" s="101">
        <f>'Проверочная  таблица'!PB24+'Проверочная  таблица'!PT24</f>
        <v>0</v>
      </c>
      <c r="BJ23" s="104">
        <f>'Проверочная  таблица'!OY24+'Проверочная  таблица'!PO24</f>
        <v>0</v>
      </c>
      <c r="BK23" s="103">
        <f>'Проверочная  таблица'!PF24+'Проверочная  таблица'!PX24</f>
        <v>0</v>
      </c>
      <c r="BL23" s="103">
        <f t="shared" si="4"/>
        <v>7838030</v>
      </c>
      <c r="BM23" s="101">
        <f t="shared" si="5"/>
        <v>6217466.6099999994</v>
      </c>
      <c r="BN23" s="104">
        <f>'Проверочная  таблица'!SE24</f>
        <v>2907300</v>
      </c>
      <c r="BO23" s="101">
        <f>'Проверочная  таблица'!SF24</f>
        <v>1772371.96</v>
      </c>
      <c r="BP23" s="100">
        <f>'Проверочная  таблица'!SG24</f>
        <v>7000</v>
      </c>
      <c r="BQ23" s="100">
        <f>'Проверочная  таблица'!SH24</f>
        <v>7000</v>
      </c>
      <c r="BR23" s="271">
        <f>'Проверочная  таблица'!SI24</f>
        <v>0</v>
      </c>
      <c r="BS23" s="163">
        <f>'Проверочная  таблица'!SJ24</f>
        <v>0</v>
      </c>
      <c r="BT23" s="165">
        <f>'Проверочная  таблица'!SK24</f>
        <v>0</v>
      </c>
      <c r="BU23" s="163">
        <f>'Проверочная  таблица'!SL24</f>
        <v>0</v>
      </c>
      <c r="BV23" s="165">
        <f>'Проверочная  таблица'!SM24</f>
        <v>1223730</v>
      </c>
      <c r="BW23" s="163">
        <f>'Проверочная  таблица'!SN24</f>
        <v>1191816</v>
      </c>
      <c r="BX23" s="271">
        <f>'Проверочная  таблица'!SO24</f>
        <v>0</v>
      </c>
      <c r="BY23" s="163">
        <f>'Проверочная  таблица'!SP24</f>
        <v>0</v>
      </c>
      <c r="BZ23" s="104">
        <f>'Проверочная  таблица'!SS24</f>
        <v>3700000</v>
      </c>
      <c r="CA23" s="103">
        <f>'Проверочная  таблица'!SV24</f>
        <v>3246278.65</v>
      </c>
      <c r="CB23" s="103">
        <f t="shared" si="6"/>
        <v>0</v>
      </c>
      <c r="CC23" s="101">
        <f t="shared" si="7"/>
        <v>0</v>
      </c>
      <c r="CD23" s="104">
        <f>'Проверочная  таблица'!TA24</f>
        <v>0</v>
      </c>
      <c r="CE23" s="103">
        <f>'Проверочная  таблица'!TJ24</f>
        <v>0</v>
      </c>
      <c r="CF23" s="101">
        <f>'Проверочная  таблица'!TC24</f>
        <v>0</v>
      </c>
      <c r="CG23" s="104">
        <f>'Проверочная  таблица'!TL24</f>
        <v>0</v>
      </c>
      <c r="CH23" s="103">
        <f>'Проверочная  таблица'!TE24</f>
        <v>0</v>
      </c>
      <c r="CI23" s="101">
        <f>'Проверочная  таблица'!TN24</f>
        <v>0</v>
      </c>
      <c r="CJ23" s="104">
        <f>'Проверочная  таблица'!TR24+'Проверочная  таблица'!TV24</f>
        <v>0</v>
      </c>
      <c r="CK23" s="101">
        <f>'Проверочная  таблица'!TT24+'Проверочная  таблица'!TX24</f>
        <v>0</v>
      </c>
      <c r="CL23" s="104">
        <f>'Проверочная  таблица'!UD24+'Проверочная  таблица'!UJ24</f>
        <v>0</v>
      </c>
      <c r="CM23" s="101">
        <f>'Проверочная  таблица'!UG24+'Проверочная  таблица'!UM24</f>
        <v>0</v>
      </c>
      <c r="CN23" s="104">
        <f>'Проверочная  таблица'!UE24+'Проверочная  таблица'!UK24</f>
        <v>0</v>
      </c>
      <c r="CO23" s="103">
        <f>'Проверочная  таблица'!UH24+'Проверочная  таблица'!UN24</f>
        <v>0</v>
      </c>
      <c r="CP23" s="103">
        <f>'Проверочная  таблица'!UU24</f>
        <v>0</v>
      </c>
      <c r="CQ23" s="101">
        <f>'Проверочная  таблица'!UX24</f>
        <v>0</v>
      </c>
      <c r="CS23" s="1026">
        <f t="shared" si="8"/>
        <v>4930.7299999999996</v>
      </c>
      <c r="CT23" s="1026">
        <f t="shared" si="9"/>
        <v>4445.0946499999991</v>
      </c>
    </row>
    <row r="24" spans="1:98" ht="25.5" customHeight="1" x14ac:dyDescent="0.3">
      <c r="A24" s="102" t="s">
        <v>101</v>
      </c>
      <c r="B24" s="103">
        <f t="shared" si="0"/>
        <v>5500933.5700000003</v>
      </c>
      <c r="C24" s="103">
        <f t="shared" si="1"/>
        <v>4699022.5200000005</v>
      </c>
      <c r="D24" s="269">
        <f t="shared" si="2"/>
        <v>978999.57</v>
      </c>
      <c r="E24" s="269">
        <f t="shared" si="3"/>
        <v>978999.57</v>
      </c>
      <c r="F24" s="100">
        <f>'Проверочная  таблица'!DE25+'Проверочная  таблица'!DG25</f>
        <v>0</v>
      </c>
      <c r="G24" s="103">
        <f>'Проверочная  таблица'!DF25+'Проверочная  таблица'!DH25</f>
        <v>0</v>
      </c>
      <c r="H24" s="103">
        <f>'Проверочная  таблица'!DX25</f>
        <v>0</v>
      </c>
      <c r="I24" s="101">
        <f>'Проверочная  таблица'!EF25</f>
        <v>0</v>
      </c>
      <c r="J24" s="104">
        <f>'Проверочная  таблица'!DZ25</f>
        <v>0</v>
      </c>
      <c r="K24" s="103">
        <f>'Проверочная  таблица'!EH25</f>
        <v>0</v>
      </c>
      <c r="L24" s="103">
        <f>'Проверочная  таблица'!EU25</f>
        <v>0</v>
      </c>
      <c r="M24" s="103">
        <f>'Проверочная  таблица'!EX25</f>
        <v>0</v>
      </c>
      <c r="N24" s="103">
        <f>'Проверочная  таблица'!FA25</f>
        <v>0</v>
      </c>
      <c r="O24" s="101">
        <f>'Проверочная  таблица'!FD25</f>
        <v>0</v>
      </c>
      <c r="P24" s="104">
        <f>'Проверочная  таблица'!FG25</f>
        <v>0</v>
      </c>
      <c r="Q24" s="103">
        <f>'Проверочная  таблица'!FL25</f>
        <v>0</v>
      </c>
      <c r="R24" s="103">
        <f>'Проверочная  таблица'!FI25</f>
        <v>0</v>
      </c>
      <c r="S24" s="101">
        <f>'Проверочная  таблица'!FN25</f>
        <v>0</v>
      </c>
      <c r="T24" s="103">
        <f>'Проверочная  таблица'!FQ25</f>
        <v>0</v>
      </c>
      <c r="U24" s="101">
        <f>'Проверочная  таблица'!FT25</f>
        <v>0</v>
      </c>
      <c r="V24" s="104">
        <f>'Проверочная  таблица'!FW25</f>
        <v>0</v>
      </c>
      <c r="W24" s="101">
        <f>'Проверочная  таблица'!FZ25</f>
        <v>0</v>
      </c>
      <c r="X24" s="104">
        <f>'Проверочная  таблица'!GC25+'Проверочная  таблица'!GI25</f>
        <v>970726.62</v>
      </c>
      <c r="Y24" s="103">
        <f>'Проверочная  таблица'!GF25+'Проверочная  таблица'!GL25</f>
        <v>970726.62</v>
      </c>
      <c r="Z24" s="103">
        <f>'Проверочная  таблица'!HA25</f>
        <v>0</v>
      </c>
      <c r="AA24" s="101">
        <f>'Проверочная  таблица'!HD25</f>
        <v>0</v>
      </c>
      <c r="AB24" s="104">
        <f>'Проверочная  таблица'!HI25+'Проверочная  таблица'!IA25</f>
        <v>8272.9499999999989</v>
      </c>
      <c r="AC24" s="101">
        <f>'Проверочная  таблица'!IJ25+'Проверочная  таблица'!HR25</f>
        <v>8272.9499999999989</v>
      </c>
      <c r="AD24" s="104">
        <f>'Проверочная  таблица'!HK25+'Проверочная  таблица'!IC25</f>
        <v>0</v>
      </c>
      <c r="AE24" s="103">
        <f>'Проверочная  таблица'!IL25+'Проверочная  таблица'!HT25</f>
        <v>0</v>
      </c>
      <c r="AF24" s="103">
        <f>'Проверочная  таблица'!HM25+'Проверочная  таблица'!IE25</f>
        <v>0</v>
      </c>
      <c r="AG24" s="103">
        <f>'Проверочная  таблица'!HV25+'Проверочная  таблица'!IN25</f>
        <v>0</v>
      </c>
      <c r="AH24" s="103">
        <f>'Проверочная  таблица'!HG25+'Проверочная  таблица'!HY25</f>
        <v>0</v>
      </c>
      <c r="AI24" s="101">
        <f>'Проверочная  таблица'!IH25+'Проверочная  таблица'!HP25</f>
        <v>0</v>
      </c>
      <c r="AJ24" s="103">
        <f>'Проверочная  таблица'!KA25</f>
        <v>0</v>
      </c>
      <c r="AK24" s="103">
        <f>'Проверочная  таблица'!KF25</f>
        <v>0</v>
      </c>
      <c r="AL24" s="103">
        <f>'Проверочная  таблица'!KC25</f>
        <v>0</v>
      </c>
      <c r="AM24" s="103">
        <f>'Проверочная  таблица'!KH25</f>
        <v>0</v>
      </c>
      <c r="AN24" s="103">
        <f>'Проверочная  таблица'!KL25</f>
        <v>0</v>
      </c>
      <c r="AO24" s="101">
        <f>'Проверочная  таблица'!KR25</f>
        <v>0</v>
      </c>
      <c r="AP24" s="104">
        <f>'Проверочная  таблица'!KN25</f>
        <v>0</v>
      </c>
      <c r="AQ24" s="101">
        <f>'Проверочная  таблица'!KT25</f>
        <v>0</v>
      </c>
      <c r="AR24" s="103">
        <f>'Проверочная  таблица'!KX25</f>
        <v>0</v>
      </c>
      <c r="AS24" s="101">
        <f>'Проверочная  таблица'!LB25</f>
        <v>0</v>
      </c>
      <c r="AT24" s="104">
        <f>'Проверочная  таблица'!LI25+'Проверочная  таблица'!LW25</f>
        <v>0</v>
      </c>
      <c r="AU24" s="101">
        <f>'Проверочная  таблица'!LP25+'Проверочная  таблица'!MB25</f>
        <v>0</v>
      </c>
      <c r="AV24" s="104">
        <f>'Проверочная  таблица'!LK25+'Проверочная  таблица'!LY25</f>
        <v>0</v>
      </c>
      <c r="AW24" s="103">
        <f>'Проверочная  таблица'!LR25+'Проверочная  таблица'!MD25</f>
        <v>0</v>
      </c>
      <c r="AX24" s="103">
        <f>'Проверочная  таблица'!LM25</f>
        <v>0</v>
      </c>
      <c r="AY24" s="101">
        <f>'Проверочная  таблица'!LT25</f>
        <v>0</v>
      </c>
      <c r="AZ24" s="104">
        <f>'Проверочная  таблица'!NE25</f>
        <v>0</v>
      </c>
      <c r="BA24" s="101">
        <f>'Проверочная  таблица'!NH25</f>
        <v>0</v>
      </c>
      <c r="BB24" s="103">
        <f>'Проверочная  таблица'!NW25</f>
        <v>0</v>
      </c>
      <c r="BC24" s="103">
        <f>'Проверочная  таблица'!NZ25</f>
        <v>0</v>
      </c>
      <c r="BD24" s="101">
        <f>'Проверочная  таблица'!OW25+'Проверочная  таблица'!PM25</f>
        <v>0</v>
      </c>
      <c r="BE24" s="100">
        <f>'Проверочная  таблица'!PD25+'Проверочная  таблица'!PV25</f>
        <v>0</v>
      </c>
      <c r="BF24" s="103">
        <f>'Проверочная  таблица'!PI25</f>
        <v>0</v>
      </c>
      <c r="BG24" s="103">
        <f>'Проверочная  таблица'!PR25</f>
        <v>0</v>
      </c>
      <c r="BH24" s="103">
        <f>'Проверочная  таблица'!OU25+'Проверочная  таблица'!PK25</f>
        <v>0</v>
      </c>
      <c r="BI24" s="101">
        <f>'Проверочная  таблица'!PB25+'Проверочная  таблица'!PT25</f>
        <v>0</v>
      </c>
      <c r="BJ24" s="104">
        <f>'Проверочная  таблица'!OY25+'Проверочная  таблица'!PO25</f>
        <v>0</v>
      </c>
      <c r="BK24" s="103">
        <f>'Проверочная  таблица'!PF25+'Проверочная  таблица'!PX25</f>
        <v>0</v>
      </c>
      <c r="BL24" s="103">
        <f t="shared" si="4"/>
        <v>4521934</v>
      </c>
      <c r="BM24" s="101">
        <f t="shared" si="5"/>
        <v>3720022.95</v>
      </c>
      <c r="BN24" s="104">
        <f>'Проверочная  таблица'!SE25</f>
        <v>1321300</v>
      </c>
      <c r="BO24" s="101">
        <f>'Проверочная  таблица'!SF25</f>
        <v>967614.93</v>
      </c>
      <c r="BP24" s="100">
        <f>'Проверочная  таблица'!SG25</f>
        <v>2000</v>
      </c>
      <c r="BQ24" s="100">
        <f>'Проверочная  таблица'!SH25</f>
        <v>0</v>
      </c>
      <c r="BR24" s="271">
        <f>'Проверочная  таблица'!SI25</f>
        <v>1198634.0000000002</v>
      </c>
      <c r="BS24" s="163">
        <f>'Проверочная  таблица'!SJ25</f>
        <v>1191816</v>
      </c>
      <c r="BT24" s="165">
        <f>'Проверочная  таблица'!SK25</f>
        <v>0</v>
      </c>
      <c r="BU24" s="163">
        <f>'Проверочная  таблица'!SL25</f>
        <v>0</v>
      </c>
      <c r="BV24" s="165">
        <f>'Проверочная  таблица'!SM25</f>
        <v>0</v>
      </c>
      <c r="BW24" s="163">
        <f>'Проверочная  таблица'!SN25</f>
        <v>0</v>
      </c>
      <c r="BX24" s="271">
        <f>'Проверочная  таблица'!SO25</f>
        <v>0</v>
      </c>
      <c r="BY24" s="163">
        <f>'Проверочная  таблица'!SP25</f>
        <v>0</v>
      </c>
      <c r="BZ24" s="104">
        <f>'Проверочная  таблица'!SS25</f>
        <v>2000000</v>
      </c>
      <c r="CA24" s="103">
        <f>'Проверочная  таблица'!SV25</f>
        <v>1560592.02</v>
      </c>
      <c r="CB24" s="103">
        <f t="shared" si="6"/>
        <v>0</v>
      </c>
      <c r="CC24" s="101">
        <f t="shared" si="7"/>
        <v>0</v>
      </c>
      <c r="CD24" s="104">
        <f>'Проверочная  таблица'!TA25</f>
        <v>0</v>
      </c>
      <c r="CE24" s="103">
        <f>'Проверочная  таблица'!TJ25</f>
        <v>0</v>
      </c>
      <c r="CF24" s="101">
        <f>'Проверочная  таблица'!TC25</f>
        <v>0</v>
      </c>
      <c r="CG24" s="104">
        <f>'Проверочная  таблица'!TL25</f>
        <v>0</v>
      </c>
      <c r="CH24" s="103">
        <f>'Проверочная  таблица'!TE25</f>
        <v>0</v>
      </c>
      <c r="CI24" s="101">
        <f>'Проверочная  таблица'!TN25</f>
        <v>0</v>
      </c>
      <c r="CJ24" s="104">
        <f>'Проверочная  таблица'!TR25+'Проверочная  таблица'!TV25</f>
        <v>0</v>
      </c>
      <c r="CK24" s="101">
        <f>'Проверочная  таблица'!TT25+'Проверочная  таблица'!TX25</f>
        <v>0</v>
      </c>
      <c r="CL24" s="104">
        <f>'Проверочная  таблица'!UD25+'Проверочная  таблица'!UJ25</f>
        <v>0</v>
      </c>
      <c r="CM24" s="101">
        <f>'Проверочная  таблица'!UG25+'Проверочная  таблица'!UM25</f>
        <v>0</v>
      </c>
      <c r="CN24" s="104">
        <f>'Проверочная  таблица'!UE25+'Проверочная  таблица'!UK25</f>
        <v>0</v>
      </c>
      <c r="CO24" s="103">
        <f>'Проверочная  таблица'!UH25+'Проверочная  таблица'!UN25</f>
        <v>0</v>
      </c>
      <c r="CP24" s="103">
        <f>'Проверочная  таблица'!UU25</f>
        <v>0</v>
      </c>
      <c r="CQ24" s="101">
        <f>'Проверочная  таблица'!UX25</f>
        <v>0</v>
      </c>
      <c r="CS24" s="1026">
        <f t="shared" si="8"/>
        <v>3200.634</v>
      </c>
      <c r="CT24" s="1026">
        <f t="shared" si="9"/>
        <v>2752.4080199999999</v>
      </c>
    </row>
    <row r="25" spans="1:98" ht="25.5" customHeight="1" x14ac:dyDescent="0.3">
      <c r="A25" s="105" t="s">
        <v>102</v>
      </c>
      <c r="B25" s="103">
        <f t="shared" si="0"/>
        <v>18306007.210000001</v>
      </c>
      <c r="C25" s="103">
        <f t="shared" si="1"/>
        <v>13087247.240000002</v>
      </c>
      <c r="D25" s="269">
        <f t="shared" si="2"/>
        <v>10253405.210000001</v>
      </c>
      <c r="E25" s="269">
        <f t="shared" si="3"/>
        <v>7291817.6700000009</v>
      </c>
      <c r="F25" s="100">
        <f>'Проверочная  таблица'!DE26+'Проверочная  таблица'!DG26</f>
        <v>0</v>
      </c>
      <c r="G25" s="103">
        <f>'Проверочная  таблица'!DF26+'Проверочная  таблица'!DH26</f>
        <v>0</v>
      </c>
      <c r="H25" s="103">
        <f>'Проверочная  таблица'!DX26</f>
        <v>0</v>
      </c>
      <c r="I25" s="101">
        <f>'Проверочная  таблица'!EF26</f>
        <v>0</v>
      </c>
      <c r="J25" s="104">
        <f>'Проверочная  таблица'!DZ26</f>
        <v>0</v>
      </c>
      <c r="K25" s="103">
        <f>'Проверочная  таблица'!EH26</f>
        <v>0</v>
      </c>
      <c r="L25" s="103">
        <f>'Проверочная  таблица'!EU26</f>
        <v>0</v>
      </c>
      <c r="M25" s="103">
        <f>'Проверочная  таблица'!EX26</f>
        <v>0</v>
      </c>
      <c r="N25" s="103">
        <f>'Проверочная  таблица'!FA26</f>
        <v>0</v>
      </c>
      <c r="O25" s="101">
        <f>'Проверочная  таблица'!FD26</f>
        <v>0</v>
      </c>
      <c r="P25" s="104">
        <f>'Проверочная  таблица'!FG26</f>
        <v>2721180</v>
      </c>
      <c r="Q25" s="103">
        <f>'Проверочная  таблица'!FL26</f>
        <v>0</v>
      </c>
      <c r="R25" s="103">
        <f>'Проверочная  таблица'!FI26</f>
        <v>0</v>
      </c>
      <c r="S25" s="101">
        <f>'Проверочная  таблица'!FN26</f>
        <v>0</v>
      </c>
      <c r="T25" s="103">
        <f>'Проверочная  таблица'!FQ26</f>
        <v>0</v>
      </c>
      <c r="U25" s="101">
        <f>'Проверочная  таблица'!FT26</f>
        <v>0</v>
      </c>
      <c r="V25" s="104">
        <f>'Проверочная  таблица'!FW26</f>
        <v>0</v>
      </c>
      <c r="W25" s="101">
        <f>'Проверочная  таблица'!FZ26</f>
        <v>0</v>
      </c>
      <c r="X25" s="104">
        <f>'Проверочная  таблица'!GC26+'Проверочная  таблица'!GI26</f>
        <v>970725.90999999992</v>
      </c>
      <c r="Y25" s="103">
        <f>'Проверочная  таблица'!GF26+'Проверочная  таблица'!GL26</f>
        <v>730318.37</v>
      </c>
      <c r="Z25" s="103">
        <f>'Проверочная  таблица'!HA26</f>
        <v>0</v>
      </c>
      <c r="AA25" s="101">
        <f>'Проверочная  таблица'!HD26</f>
        <v>0</v>
      </c>
      <c r="AB25" s="104">
        <f>'Проверочная  таблица'!HI26+'Проверочная  таблица'!IA26</f>
        <v>12409.42</v>
      </c>
      <c r="AC25" s="101">
        <f>'Проверочная  таблица'!IJ26+'Проверочная  таблица'!HR26</f>
        <v>12409.42</v>
      </c>
      <c r="AD25" s="104">
        <f>'Проверочная  таблица'!HK26+'Проверочная  таблица'!IC26</f>
        <v>0</v>
      </c>
      <c r="AE25" s="103">
        <f>'Проверочная  таблица'!IL26+'Проверочная  таблица'!HT26</f>
        <v>0</v>
      </c>
      <c r="AF25" s="103">
        <f>'Проверочная  таблица'!HM26+'Проверочная  таблица'!IE26</f>
        <v>0</v>
      </c>
      <c r="AG25" s="103">
        <f>'Проверочная  таблица'!HV26+'Проверочная  таблица'!IN26</f>
        <v>0</v>
      </c>
      <c r="AH25" s="103">
        <f>'Проверочная  таблица'!HG26+'Проверочная  таблица'!HY26</f>
        <v>0</v>
      </c>
      <c r="AI25" s="101">
        <f>'Проверочная  таблица'!IH26+'Проверочная  таблица'!HP26</f>
        <v>0</v>
      </c>
      <c r="AJ25" s="103">
        <f>'Проверочная  таблица'!KA26</f>
        <v>0</v>
      </c>
      <c r="AK25" s="103">
        <f>'Проверочная  таблица'!KF26</f>
        <v>0</v>
      </c>
      <c r="AL25" s="103">
        <f>'Проверочная  таблица'!KC26</f>
        <v>0</v>
      </c>
      <c r="AM25" s="103">
        <f>'Проверочная  таблица'!KH26</f>
        <v>0</v>
      </c>
      <c r="AN25" s="103">
        <f>'Проверочная  таблица'!KL26</f>
        <v>0</v>
      </c>
      <c r="AO25" s="101">
        <f>'Проверочная  таблица'!KR26</f>
        <v>0</v>
      </c>
      <c r="AP25" s="104">
        <f>'Проверочная  таблица'!KN26</f>
        <v>0</v>
      </c>
      <c r="AQ25" s="101">
        <f>'Проверочная  таблица'!KT26</f>
        <v>0</v>
      </c>
      <c r="AR25" s="103">
        <f>'Проверочная  таблица'!KX26</f>
        <v>0</v>
      </c>
      <c r="AS25" s="101">
        <f>'Проверочная  таблица'!LB26</f>
        <v>0</v>
      </c>
      <c r="AT25" s="104">
        <f>'Проверочная  таблица'!LI26+'Проверочная  таблица'!LW26</f>
        <v>0</v>
      </c>
      <c r="AU25" s="101">
        <f>'Проверочная  таблица'!LP26+'Проверочная  таблица'!MB26</f>
        <v>0</v>
      </c>
      <c r="AV25" s="104">
        <f>'Проверочная  таблица'!LK26+'Проверочная  таблица'!LY26</f>
        <v>0</v>
      </c>
      <c r="AW25" s="103">
        <f>'Проверочная  таблица'!LR26+'Проверочная  таблица'!MD26</f>
        <v>0</v>
      </c>
      <c r="AX25" s="103">
        <f>'Проверочная  таблица'!LM26</f>
        <v>0</v>
      </c>
      <c r="AY25" s="101">
        <f>'Проверочная  таблица'!LT26</f>
        <v>0</v>
      </c>
      <c r="AZ25" s="104">
        <f>'Проверочная  таблица'!NE26</f>
        <v>0</v>
      </c>
      <c r="BA25" s="101">
        <f>'Проверочная  таблица'!NH26</f>
        <v>0</v>
      </c>
      <c r="BB25" s="103">
        <f>'Проверочная  таблица'!NW26</f>
        <v>0</v>
      </c>
      <c r="BC25" s="103">
        <f>'Проверочная  таблица'!NZ26</f>
        <v>0</v>
      </c>
      <c r="BD25" s="101">
        <f>'Проверочная  таблица'!OW26+'Проверочная  таблица'!PM26</f>
        <v>0</v>
      </c>
      <c r="BE25" s="100">
        <f>'Проверочная  таблица'!PD26+'Проверочная  таблица'!PV26</f>
        <v>0</v>
      </c>
      <c r="BF25" s="103">
        <f>'Проверочная  таблица'!PI26</f>
        <v>0</v>
      </c>
      <c r="BG25" s="103">
        <f>'Проверочная  таблица'!PR26</f>
        <v>0</v>
      </c>
      <c r="BH25" s="103">
        <f>'Проверочная  таблица'!OU26+'Проверочная  таблица'!PK26</f>
        <v>0</v>
      </c>
      <c r="BI25" s="101">
        <f>'Проверочная  таблица'!PB26+'Проверочная  таблица'!PT26</f>
        <v>0</v>
      </c>
      <c r="BJ25" s="104">
        <f>'Проверочная  таблица'!OY26+'Проверочная  таблица'!PO26</f>
        <v>6549089.8799999999</v>
      </c>
      <c r="BK25" s="103">
        <f>'Проверочная  таблица'!PF26+'Проверочная  таблица'!PX26</f>
        <v>6549089.8800000008</v>
      </c>
      <c r="BL25" s="103">
        <f t="shared" si="4"/>
        <v>8052602</v>
      </c>
      <c r="BM25" s="101">
        <f t="shared" si="5"/>
        <v>5795429.5700000003</v>
      </c>
      <c r="BN25" s="104">
        <f>'Проверочная  таблица'!SE26</f>
        <v>1223600</v>
      </c>
      <c r="BO25" s="101">
        <f>'Проверочная  таблица'!SF26</f>
        <v>834986.17</v>
      </c>
      <c r="BP25" s="100">
        <f>'Проверочная  таблица'!SG26</f>
        <v>4000</v>
      </c>
      <c r="BQ25" s="100">
        <f>'Проверочная  таблица'!SH26</f>
        <v>4000</v>
      </c>
      <c r="BR25" s="271">
        <f>'Проверочная  таблица'!SI26</f>
        <v>4903813</v>
      </c>
      <c r="BS25" s="163">
        <f>'Проверочная  таблица'!SJ26</f>
        <v>3659400</v>
      </c>
      <c r="BT25" s="165">
        <f>'Проверочная  таблица'!SK26</f>
        <v>0</v>
      </c>
      <c r="BU25" s="163">
        <f>'Проверочная  таблица'!SL26</f>
        <v>0</v>
      </c>
      <c r="BV25" s="165">
        <f>'Проверочная  таблица'!SM26</f>
        <v>0</v>
      </c>
      <c r="BW25" s="163">
        <f>'Проверочная  таблица'!SN26</f>
        <v>0</v>
      </c>
      <c r="BX25" s="271">
        <f>'Проверочная  таблица'!SO26</f>
        <v>0</v>
      </c>
      <c r="BY25" s="163">
        <f>'Проверочная  таблица'!SP26</f>
        <v>0</v>
      </c>
      <c r="BZ25" s="104">
        <f>'Проверочная  таблица'!SS26</f>
        <v>1921189</v>
      </c>
      <c r="CA25" s="103">
        <f>'Проверочная  таблица'!SV26</f>
        <v>1297043.3999999999</v>
      </c>
      <c r="CB25" s="103">
        <f t="shared" si="6"/>
        <v>0</v>
      </c>
      <c r="CC25" s="101">
        <f t="shared" si="7"/>
        <v>0</v>
      </c>
      <c r="CD25" s="104">
        <f>'Проверочная  таблица'!TA26</f>
        <v>0</v>
      </c>
      <c r="CE25" s="103">
        <f>'Проверочная  таблица'!TJ26</f>
        <v>0</v>
      </c>
      <c r="CF25" s="101">
        <f>'Проверочная  таблица'!TC26</f>
        <v>0</v>
      </c>
      <c r="CG25" s="104">
        <f>'Проверочная  таблица'!TL26</f>
        <v>0</v>
      </c>
      <c r="CH25" s="103">
        <f>'Проверочная  таблица'!TE26</f>
        <v>0</v>
      </c>
      <c r="CI25" s="101">
        <f>'Проверочная  таблица'!TN26</f>
        <v>0</v>
      </c>
      <c r="CJ25" s="104">
        <f>'Проверочная  таблица'!TR26+'Проверочная  таблица'!TV26</f>
        <v>0</v>
      </c>
      <c r="CK25" s="101">
        <f>'Проверочная  таблица'!TT26+'Проверочная  таблица'!TX26</f>
        <v>0</v>
      </c>
      <c r="CL25" s="104">
        <f>'Проверочная  таблица'!UD26+'Проверочная  таблица'!UJ26</f>
        <v>0</v>
      </c>
      <c r="CM25" s="101">
        <f>'Проверочная  таблица'!UG26+'Проверочная  таблица'!UM26</f>
        <v>0</v>
      </c>
      <c r="CN25" s="104">
        <f>'Проверочная  таблица'!UE26+'Проверочная  таблица'!UK26</f>
        <v>0</v>
      </c>
      <c r="CO25" s="103">
        <f>'Проверочная  таблица'!UH26+'Проверочная  таблица'!UN26</f>
        <v>0</v>
      </c>
      <c r="CP25" s="103">
        <f>'Проверочная  таблица'!UU26</f>
        <v>0</v>
      </c>
      <c r="CQ25" s="101">
        <f>'Проверочная  таблица'!UX26</f>
        <v>0</v>
      </c>
      <c r="CS25" s="1026">
        <f t="shared" si="8"/>
        <v>6829.0020000000004</v>
      </c>
      <c r="CT25" s="1026">
        <f t="shared" si="9"/>
        <v>4960.4434000000001</v>
      </c>
    </row>
    <row r="26" spans="1:98" ht="25.5" customHeight="1" x14ac:dyDescent="0.3">
      <c r="A26" s="102" t="s">
        <v>103</v>
      </c>
      <c r="B26" s="103">
        <f t="shared" si="0"/>
        <v>175649887.80000001</v>
      </c>
      <c r="C26" s="103">
        <f t="shared" si="1"/>
        <v>118376490.61</v>
      </c>
      <c r="D26" s="269">
        <f t="shared" si="2"/>
        <v>167302320.80000001</v>
      </c>
      <c r="E26" s="269">
        <f t="shared" si="3"/>
        <v>114323098.84999999</v>
      </c>
      <c r="F26" s="100">
        <f>'Проверочная  таблица'!DE27+'Проверочная  таблица'!DG27</f>
        <v>0</v>
      </c>
      <c r="G26" s="103">
        <f>'Проверочная  таблица'!DF27+'Проверочная  таблица'!DH27</f>
        <v>0</v>
      </c>
      <c r="H26" s="103">
        <f>'Проверочная  таблица'!DX27</f>
        <v>0</v>
      </c>
      <c r="I26" s="101">
        <f>'Проверочная  таблица'!EF27</f>
        <v>0</v>
      </c>
      <c r="J26" s="104">
        <f>'Проверочная  таблица'!DZ27</f>
        <v>1842356.4</v>
      </c>
      <c r="K26" s="103">
        <f>'Проверочная  таблица'!EH27</f>
        <v>0</v>
      </c>
      <c r="L26" s="103">
        <f>'Проверочная  таблица'!EU27</f>
        <v>0</v>
      </c>
      <c r="M26" s="103">
        <f>'Проверочная  таблица'!EX27</f>
        <v>0</v>
      </c>
      <c r="N26" s="103">
        <f>'Проверочная  таблица'!FA27</f>
        <v>0</v>
      </c>
      <c r="O26" s="101">
        <f>'Проверочная  таблица'!FD27</f>
        <v>0</v>
      </c>
      <c r="P26" s="104">
        <f>'Проверочная  таблица'!FG27</f>
        <v>2721180</v>
      </c>
      <c r="Q26" s="103">
        <f>'Проверочная  таблица'!FL27</f>
        <v>0</v>
      </c>
      <c r="R26" s="103">
        <f>'Проверочная  таблица'!FI27</f>
        <v>0</v>
      </c>
      <c r="S26" s="101">
        <f>'Проверочная  таблица'!FN27</f>
        <v>0</v>
      </c>
      <c r="T26" s="103">
        <f>'Проверочная  таблица'!FQ27</f>
        <v>0</v>
      </c>
      <c r="U26" s="101">
        <f>'Проверочная  таблица'!FT27</f>
        <v>0</v>
      </c>
      <c r="V26" s="104">
        <f>'Проверочная  таблица'!FW27</f>
        <v>0</v>
      </c>
      <c r="W26" s="101">
        <f>'Проверочная  таблица'!FZ27</f>
        <v>0</v>
      </c>
      <c r="X26" s="104">
        <f>'Проверочная  таблица'!GC27+'Проверочная  таблица'!GI27</f>
        <v>1151997.8</v>
      </c>
      <c r="Y26" s="103">
        <f>'Проверочная  таблица'!GF27+'Проверочная  таблица'!GL27</f>
        <v>1151997.8</v>
      </c>
      <c r="Z26" s="103">
        <f>'Проверочная  таблица'!HA27</f>
        <v>0</v>
      </c>
      <c r="AA26" s="101">
        <f>'Проверочная  таблица'!HD27</f>
        <v>0</v>
      </c>
      <c r="AB26" s="104">
        <f>'Проверочная  таблица'!HI27+'Проверочная  таблица'!IA27</f>
        <v>8686.6</v>
      </c>
      <c r="AC26" s="101">
        <f>'Проверочная  таблица'!IJ27+'Проверочная  таблица'!HR27</f>
        <v>8686.6</v>
      </c>
      <c r="AD26" s="104">
        <f>'Проверочная  таблица'!HK27+'Проверочная  таблица'!IC27</f>
        <v>0</v>
      </c>
      <c r="AE26" s="103">
        <f>'Проверочная  таблица'!IL27+'Проверочная  таблица'!HT27</f>
        <v>0</v>
      </c>
      <c r="AF26" s="103">
        <f>'Проверочная  таблица'!HM27+'Проверочная  таблица'!IE27</f>
        <v>0</v>
      </c>
      <c r="AG26" s="103">
        <f>'Проверочная  таблица'!HV27+'Проверочная  таблица'!IN27</f>
        <v>0</v>
      </c>
      <c r="AH26" s="103">
        <f>'Проверочная  таблица'!HG27+'Проверочная  таблица'!HY27</f>
        <v>0</v>
      </c>
      <c r="AI26" s="101">
        <f>'Проверочная  таблица'!IH27+'Проверочная  таблица'!HP27</f>
        <v>0</v>
      </c>
      <c r="AJ26" s="103">
        <f>'Проверочная  таблица'!KA27</f>
        <v>156353100</v>
      </c>
      <c r="AK26" s="103">
        <f>'Проверочная  таблица'!KF27</f>
        <v>113162414.44999999</v>
      </c>
      <c r="AL26" s="103">
        <f>'Проверочная  таблица'!KC27</f>
        <v>0</v>
      </c>
      <c r="AM26" s="103">
        <f>'Проверочная  таблица'!KH27</f>
        <v>0</v>
      </c>
      <c r="AN26" s="103">
        <f>'Проверочная  таблица'!KL27</f>
        <v>0</v>
      </c>
      <c r="AO26" s="101">
        <f>'Проверочная  таблица'!KR27</f>
        <v>0</v>
      </c>
      <c r="AP26" s="104">
        <f>'Проверочная  таблица'!KN27</f>
        <v>0</v>
      </c>
      <c r="AQ26" s="101">
        <f>'Проверочная  таблица'!KT27</f>
        <v>0</v>
      </c>
      <c r="AR26" s="103">
        <f>'Проверочная  таблица'!KX27</f>
        <v>0</v>
      </c>
      <c r="AS26" s="101">
        <f>'Проверочная  таблица'!LB27</f>
        <v>0</v>
      </c>
      <c r="AT26" s="104">
        <f>'Проверочная  таблица'!LI27+'Проверочная  таблица'!LW27</f>
        <v>5225000</v>
      </c>
      <c r="AU26" s="101">
        <f>'Проверочная  таблица'!LP27+'Проверочная  таблица'!MB27</f>
        <v>0</v>
      </c>
      <c r="AV26" s="104">
        <f>'Проверочная  таблица'!LK27+'Проверочная  таблица'!LY27</f>
        <v>0</v>
      </c>
      <c r="AW26" s="103">
        <f>'Проверочная  таблица'!LR27+'Проверочная  таблица'!MD27</f>
        <v>0</v>
      </c>
      <c r="AX26" s="103">
        <f>'Проверочная  таблица'!LM27</f>
        <v>0</v>
      </c>
      <c r="AY26" s="101">
        <f>'Проверочная  таблица'!LT27</f>
        <v>0</v>
      </c>
      <c r="AZ26" s="104">
        <f>'Проверочная  таблица'!NE27</f>
        <v>0</v>
      </c>
      <c r="BA26" s="101">
        <f>'Проверочная  таблица'!NH27</f>
        <v>0</v>
      </c>
      <c r="BB26" s="103">
        <f>'Проверочная  таблица'!NW27</f>
        <v>0</v>
      </c>
      <c r="BC26" s="103">
        <f>'Проверочная  таблица'!NZ27</f>
        <v>0</v>
      </c>
      <c r="BD26" s="101">
        <f>'Проверочная  таблица'!OW27+'Проверочная  таблица'!PM27</f>
        <v>0</v>
      </c>
      <c r="BE26" s="100">
        <f>'Проверочная  таблица'!PD27+'Проверочная  таблица'!PV27</f>
        <v>0</v>
      </c>
      <c r="BF26" s="103">
        <f>'Проверочная  таблица'!PI27</f>
        <v>0</v>
      </c>
      <c r="BG26" s="103">
        <f>'Проверочная  таблица'!PR27</f>
        <v>0</v>
      </c>
      <c r="BH26" s="103">
        <f>'Проверочная  таблица'!OU27+'Проверочная  таблица'!PK27</f>
        <v>0</v>
      </c>
      <c r="BI26" s="101">
        <f>'Проверочная  таблица'!PB27+'Проверочная  таблица'!PT27</f>
        <v>0</v>
      </c>
      <c r="BJ26" s="104">
        <f>'Проверочная  таблица'!OY27+'Проверочная  таблица'!PO27</f>
        <v>0</v>
      </c>
      <c r="BK26" s="103">
        <f>'Проверочная  таблица'!PF27+'Проверочная  таблица'!PX27</f>
        <v>0</v>
      </c>
      <c r="BL26" s="103">
        <f t="shared" si="4"/>
        <v>8347567</v>
      </c>
      <c r="BM26" s="101">
        <f t="shared" si="5"/>
        <v>4053391.76</v>
      </c>
      <c r="BN26" s="104">
        <f>'Проверочная  таблица'!SE27</f>
        <v>2343100</v>
      </c>
      <c r="BO26" s="101">
        <f>'Проверочная  таблица'!SF27</f>
        <v>1757325</v>
      </c>
      <c r="BP26" s="100">
        <f>'Проверочная  таблица'!SG27</f>
        <v>6000</v>
      </c>
      <c r="BQ26" s="100">
        <f>'Проверочная  таблица'!SH27</f>
        <v>4934.5</v>
      </c>
      <c r="BR26" s="271">
        <f>'Проверочная  таблица'!SI27</f>
        <v>2506545</v>
      </c>
      <c r="BS26" s="163">
        <f>'Проверочная  таблица'!SJ27</f>
        <v>0</v>
      </c>
      <c r="BT26" s="165">
        <f>'Проверочная  таблица'!SK27</f>
        <v>0</v>
      </c>
      <c r="BU26" s="163">
        <f>'Проверочная  таблица'!SL27</f>
        <v>0</v>
      </c>
      <c r="BV26" s="165">
        <f>'Проверочная  таблица'!SM27</f>
        <v>0</v>
      </c>
      <c r="BW26" s="163">
        <f>'Проверочная  таблица'!SN27</f>
        <v>0</v>
      </c>
      <c r="BX26" s="271">
        <f>'Проверочная  таблица'!SO27</f>
        <v>0</v>
      </c>
      <c r="BY26" s="163">
        <f>'Проверочная  таблица'!SP27</f>
        <v>0</v>
      </c>
      <c r="BZ26" s="104">
        <f>'Проверочная  таблица'!SS27</f>
        <v>3491922</v>
      </c>
      <c r="CA26" s="103">
        <f>'Проверочная  таблица'!SV27</f>
        <v>2291132.2599999998</v>
      </c>
      <c r="CB26" s="103">
        <f t="shared" si="6"/>
        <v>0</v>
      </c>
      <c r="CC26" s="101">
        <f t="shared" si="7"/>
        <v>0</v>
      </c>
      <c r="CD26" s="104">
        <f>'Проверочная  таблица'!TA27</f>
        <v>0</v>
      </c>
      <c r="CE26" s="103">
        <f>'Проверочная  таблица'!TJ27</f>
        <v>0</v>
      </c>
      <c r="CF26" s="101">
        <f>'Проверочная  таблица'!TC27</f>
        <v>0</v>
      </c>
      <c r="CG26" s="104">
        <f>'Проверочная  таблица'!TL27</f>
        <v>0</v>
      </c>
      <c r="CH26" s="103">
        <f>'Проверочная  таблица'!TE27</f>
        <v>0</v>
      </c>
      <c r="CI26" s="101">
        <f>'Проверочная  таблица'!TN27</f>
        <v>0</v>
      </c>
      <c r="CJ26" s="104">
        <f>'Проверочная  таблица'!TR27+'Проверочная  таблица'!TV27</f>
        <v>0</v>
      </c>
      <c r="CK26" s="101">
        <f>'Проверочная  таблица'!TT27+'Проверочная  таблица'!TX27</f>
        <v>0</v>
      </c>
      <c r="CL26" s="104">
        <f>'Проверочная  таблица'!UD27+'Проверочная  таблица'!UJ27</f>
        <v>0</v>
      </c>
      <c r="CM26" s="101">
        <f>'Проверочная  таблица'!UG27+'Проверочная  таблица'!UM27</f>
        <v>0</v>
      </c>
      <c r="CN26" s="104">
        <f>'Проверочная  таблица'!UE27+'Проверочная  таблица'!UK27</f>
        <v>0</v>
      </c>
      <c r="CO26" s="103">
        <f>'Проверочная  таблица'!UH27+'Проверочная  таблица'!UN27</f>
        <v>0</v>
      </c>
      <c r="CP26" s="103">
        <f>'Проверочная  таблица'!UU27</f>
        <v>0</v>
      </c>
      <c r="CQ26" s="101">
        <f>'Проверочная  таблица'!UX27</f>
        <v>0</v>
      </c>
      <c r="CS26" s="1026">
        <f t="shared" si="8"/>
        <v>6004.4669999999996</v>
      </c>
      <c r="CT26" s="1026">
        <f t="shared" si="9"/>
        <v>2296.0667599999997</v>
      </c>
    </row>
    <row r="27" spans="1:98" ht="25.5" customHeight="1" x14ac:dyDescent="0.3">
      <c r="A27" s="102" t="s">
        <v>104</v>
      </c>
      <c r="B27" s="103">
        <f t="shared" si="0"/>
        <v>33786090.390000001</v>
      </c>
      <c r="C27" s="103">
        <f t="shared" si="1"/>
        <v>10313764.49</v>
      </c>
      <c r="D27" s="269">
        <f t="shared" si="2"/>
        <v>30468825.390000001</v>
      </c>
      <c r="E27" s="269">
        <f t="shared" si="3"/>
        <v>7976153.7800000003</v>
      </c>
      <c r="F27" s="100">
        <f>'Проверочная  таблица'!DE28+'Проверочная  таблица'!DG28</f>
        <v>0</v>
      </c>
      <c r="G27" s="103">
        <f>'Проверочная  таблица'!DF28+'Проверочная  таблица'!DH28</f>
        <v>0</v>
      </c>
      <c r="H27" s="103">
        <f>'Проверочная  таблица'!DX28</f>
        <v>0</v>
      </c>
      <c r="I27" s="101">
        <f>'Проверочная  таблица'!EF28</f>
        <v>0</v>
      </c>
      <c r="J27" s="104">
        <f>'Проверочная  таблица'!DZ28</f>
        <v>0</v>
      </c>
      <c r="K27" s="103">
        <f>'Проверочная  таблица'!EH28</f>
        <v>0</v>
      </c>
      <c r="L27" s="103">
        <f>'Проверочная  таблица'!EU28</f>
        <v>0</v>
      </c>
      <c r="M27" s="103">
        <f>'Проверочная  таблица'!EX28</f>
        <v>0</v>
      </c>
      <c r="N27" s="103">
        <f>'Проверочная  таблица'!FA28</f>
        <v>0</v>
      </c>
      <c r="O27" s="101">
        <f>'Проверочная  таблица'!FD28</f>
        <v>0</v>
      </c>
      <c r="P27" s="104">
        <f>'Проверочная  таблица'!FG28</f>
        <v>2721180</v>
      </c>
      <c r="Q27" s="103">
        <f>'Проверочная  таблица'!FL28</f>
        <v>0</v>
      </c>
      <c r="R27" s="103">
        <f>'Проверочная  таблица'!FI28</f>
        <v>0</v>
      </c>
      <c r="S27" s="101">
        <f>'Проверочная  таблица'!FN28</f>
        <v>0</v>
      </c>
      <c r="T27" s="103">
        <f>'Проверочная  таблица'!FQ28</f>
        <v>0</v>
      </c>
      <c r="U27" s="101">
        <f>'Проверочная  таблица'!FT28</f>
        <v>0</v>
      </c>
      <c r="V27" s="104">
        <f>'Проверочная  таблица'!FW28</f>
        <v>0</v>
      </c>
      <c r="W27" s="101">
        <f>'Проверочная  таблица'!FZ28</f>
        <v>0</v>
      </c>
      <c r="X27" s="104">
        <f>'Проверочная  таблица'!GC28+'Проверочная  таблица'!GI28</f>
        <v>970725.91</v>
      </c>
      <c r="Y27" s="103">
        <f>'Проверочная  таблица'!GF28+'Проверочная  таблица'!GL28</f>
        <v>970725.91</v>
      </c>
      <c r="Z27" s="103">
        <f>'Проверочная  таблица'!HA28</f>
        <v>0</v>
      </c>
      <c r="AA27" s="101">
        <f>'Проверочная  таблица'!HD28</f>
        <v>0</v>
      </c>
      <c r="AB27" s="104">
        <f>'Проверочная  таблица'!HI28+'Проверочная  таблица'!IA28</f>
        <v>2481.8799999999997</v>
      </c>
      <c r="AC27" s="101">
        <f>'Проверочная  таблица'!IJ28+'Проверочная  таблица'!HR28</f>
        <v>2481.8799999999997</v>
      </c>
      <c r="AD27" s="104">
        <f>'Проверочная  таблица'!HK28+'Проверочная  таблица'!IC28</f>
        <v>0</v>
      </c>
      <c r="AE27" s="103">
        <f>'Проверочная  таблица'!IL28+'Проверочная  таблица'!HT28</f>
        <v>0</v>
      </c>
      <c r="AF27" s="103">
        <f>'Проверочная  таблица'!HM28+'Проверочная  таблица'!IE28</f>
        <v>0</v>
      </c>
      <c r="AG27" s="103">
        <f>'Проверочная  таблица'!HV28+'Проверочная  таблица'!IN28</f>
        <v>0</v>
      </c>
      <c r="AH27" s="103">
        <f>'Проверочная  таблица'!HG28+'Проверочная  таблица'!HY28</f>
        <v>0</v>
      </c>
      <c r="AI27" s="101">
        <f>'Проверочная  таблица'!IH28+'Проверочная  таблица'!HP28</f>
        <v>0</v>
      </c>
      <c r="AJ27" s="103">
        <f>'Проверочная  таблица'!KA28</f>
        <v>0</v>
      </c>
      <c r="AK27" s="103">
        <f>'Проверочная  таблица'!KF28</f>
        <v>0</v>
      </c>
      <c r="AL27" s="103">
        <f>'Проверочная  таблица'!KC28</f>
        <v>0</v>
      </c>
      <c r="AM27" s="103">
        <f>'Проверочная  таблица'!KH28</f>
        <v>0</v>
      </c>
      <c r="AN27" s="103">
        <f>'Проверочная  таблица'!KL28</f>
        <v>0</v>
      </c>
      <c r="AO27" s="101">
        <f>'Проверочная  таблица'!KR28</f>
        <v>0</v>
      </c>
      <c r="AP27" s="104">
        <f>'Проверочная  таблица'!KN28</f>
        <v>0</v>
      </c>
      <c r="AQ27" s="101">
        <f>'Проверочная  таблица'!KT28</f>
        <v>0</v>
      </c>
      <c r="AR27" s="103">
        <f>'Проверочная  таблица'!KX28</f>
        <v>0</v>
      </c>
      <c r="AS27" s="101">
        <f>'Проверочная  таблица'!LB28</f>
        <v>0</v>
      </c>
      <c r="AT27" s="104">
        <f>'Проверочная  таблица'!LI28+'Проверочная  таблица'!LW28</f>
        <v>0</v>
      </c>
      <c r="AU27" s="101">
        <f>'Проверочная  таблица'!LP28+'Проверочная  таблица'!MB28</f>
        <v>0</v>
      </c>
      <c r="AV27" s="104">
        <f>'Проверочная  таблица'!LK28+'Проверочная  таблица'!LY28</f>
        <v>0</v>
      </c>
      <c r="AW27" s="103">
        <f>'Проверочная  таблица'!LR28+'Проверочная  таблица'!MD28</f>
        <v>0</v>
      </c>
      <c r="AX27" s="103">
        <f>'Проверочная  таблица'!LM28</f>
        <v>0</v>
      </c>
      <c r="AY27" s="101">
        <f>'Проверочная  таблица'!LT28</f>
        <v>0</v>
      </c>
      <c r="AZ27" s="104">
        <f>'Проверочная  таблица'!NE28</f>
        <v>0</v>
      </c>
      <c r="BA27" s="101">
        <f>'Проверочная  таблица'!NH28</f>
        <v>0</v>
      </c>
      <c r="BB27" s="103">
        <f>'Проверочная  таблица'!NW28</f>
        <v>0</v>
      </c>
      <c r="BC27" s="103">
        <f>'Проверочная  таблица'!NZ28</f>
        <v>0</v>
      </c>
      <c r="BD27" s="101">
        <f>'Проверочная  таблица'!OW28+'Проверочная  таблица'!PM28</f>
        <v>0</v>
      </c>
      <c r="BE27" s="100">
        <f>'Проверочная  таблица'!PD28+'Проверочная  таблица'!PV28</f>
        <v>0</v>
      </c>
      <c r="BF27" s="103">
        <f>'Проверочная  таблица'!PI28</f>
        <v>0</v>
      </c>
      <c r="BG27" s="103">
        <f>'Проверочная  таблица'!PR28</f>
        <v>0</v>
      </c>
      <c r="BH27" s="103">
        <f>'Проверочная  таблица'!OU28+'Проверочная  таблица'!PK28</f>
        <v>3441072.7199999997</v>
      </c>
      <c r="BI27" s="101">
        <f>'Проверочная  таблица'!PB28+'Проверочная  таблица'!PT28</f>
        <v>0</v>
      </c>
      <c r="BJ27" s="104">
        <f>'Проверочная  таблица'!OY28+'Проверочная  таблица'!PO28</f>
        <v>23333364.879999999</v>
      </c>
      <c r="BK27" s="103">
        <f>'Проверочная  таблица'!PF28+'Проверочная  таблица'!PX28</f>
        <v>7002945.9900000002</v>
      </c>
      <c r="BL27" s="103">
        <f t="shared" si="4"/>
        <v>3317265</v>
      </c>
      <c r="BM27" s="101">
        <f t="shared" si="5"/>
        <v>2337610.71</v>
      </c>
      <c r="BN27" s="104">
        <f>'Проверочная  таблица'!SE28</f>
        <v>1305400</v>
      </c>
      <c r="BO27" s="101">
        <f>'Проверочная  таблица'!SF28</f>
        <v>713050.42</v>
      </c>
      <c r="BP27" s="100">
        <f>'Проверочная  таблица'!SG28</f>
        <v>0</v>
      </c>
      <c r="BQ27" s="100">
        <f>'Проверочная  таблица'!SH28</f>
        <v>0</v>
      </c>
      <c r="BR27" s="271">
        <f>'Проверочная  таблица'!SI28</f>
        <v>0</v>
      </c>
      <c r="BS27" s="163">
        <f>'Проверочная  таблица'!SJ28</f>
        <v>0</v>
      </c>
      <c r="BT27" s="165">
        <f>'Проверочная  таблица'!SK28</f>
        <v>0</v>
      </c>
      <c r="BU27" s="163">
        <f>'Проверочная  таблица'!SL28</f>
        <v>0</v>
      </c>
      <c r="BV27" s="165">
        <f>'Проверочная  таблица'!SM28</f>
        <v>611865</v>
      </c>
      <c r="BW27" s="163">
        <f>'Проверочная  таблица'!SN28</f>
        <v>595908</v>
      </c>
      <c r="BX27" s="271">
        <f>'Проверочная  таблица'!SO28</f>
        <v>0</v>
      </c>
      <c r="BY27" s="163">
        <f>'Проверочная  таблица'!SP28</f>
        <v>0</v>
      </c>
      <c r="BZ27" s="104">
        <f>'Проверочная  таблица'!SS28</f>
        <v>1400000</v>
      </c>
      <c r="CA27" s="103">
        <f>'Проверочная  таблица'!SV28</f>
        <v>1028652.29</v>
      </c>
      <c r="CB27" s="103">
        <f t="shared" si="6"/>
        <v>0</v>
      </c>
      <c r="CC27" s="101">
        <f t="shared" si="7"/>
        <v>0</v>
      </c>
      <c r="CD27" s="104">
        <f>'Проверочная  таблица'!TA28</f>
        <v>0</v>
      </c>
      <c r="CE27" s="103">
        <f>'Проверочная  таблица'!TJ28</f>
        <v>0</v>
      </c>
      <c r="CF27" s="101">
        <f>'Проверочная  таблица'!TC28</f>
        <v>0</v>
      </c>
      <c r="CG27" s="104">
        <f>'Проверочная  таблица'!TL28</f>
        <v>0</v>
      </c>
      <c r="CH27" s="103">
        <f>'Проверочная  таблица'!TE28</f>
        <v>0</v>
      </c>
      <c r="CI27" s="101">
        <f>'Проверочная  таблица'!TN28</f>
        <v>0</v>
      </c>
      <c r="CJ27" s="104">
        <f>'Проверочная  таблица'!TR28+'Проверочная  таблица'!TV28</f>
        <v>0</v>
      </c>
      <c r="CK27" s="101">
        <f>'Проверочная  таблица'!TT28+'Проверочная  таблица'!TX28</f>
        <v>0</v>
      </c>
      <c r="CL27" s="104">
        <f>'Проверочная  таблица'!UD28+'Проверочная  таблица'!UJ28</f>
        <v>0</v>
      </c>
      <c r="CM27" s="101">
        <f>'Проверочная  таблица'!UG28+'Проверочная  таблица'!UM28</f>
        <v>0</v>
      </c>
      <c r="CN27" s="104">
        <f>'Проверочная  таблица'!UE28+'Проверочная  таблица'!UK28</f>
        <v>0</v>
      </c>
      <c r="CO27" s="103">
        <f>'Проверочная  таблица'!UH28+'Проверочная  таблица'!UN28</f>
        <v>0</v>
      </c>
      <c r="CP27" s="103">
        <f>'Проверочная  таблица'!UU28</f>
        <v>0</v>
      </c>
      <c r="CQ27" s="101">
        <f>'Проверочная  таблица'!UX28</f>
        <v>0</v>
      </c>
      <c r="CS27" s="1026">
        <f t="shared" si="8"/>
        <v>2011.865</v>
      </c>
      <c r="CT27" s="1026">
        <f t="shared" si="9"/>
        <v>1624.5602900000001</v>
      </c>
    </row>
    <row r="28" spans="1:98" ht="25.5" customHeight="1" thickBot="1" x14ac:dyDescent="0.35">
      <c r="A28" s="106" t="s">
        <v>105</v>
      </c>
      <c r="B28" s="108">
        <f t="shared" si="0"/>
        <v>16691263.129999999</v>
      </c>
      <c r="C28" s="108">
        <f t="shared" si="1"/>
        <v>10627993.77</v>
      </c>
      <c r="D28" s="269">
        <f t="shared" si="2"/>
        <v>8513484.129999999</v>
      </c>
      <c r="E28" s="269">
        <f t="shared" si="3"/>
        <v>5193312.5299999993</v>
      </c>
      <c r="F28" s="474">
        <f>'Проверочная  таблица'!DE29+'Проверочная  таблица'!DG29</f>
        <v>0</v>
      </c>
      <c r="G28" s="108">
        <f>'Проверочная  таблица'!DF29+'Проверочная  таблица'!DH29</f>
        <v>0</v>
      </c>
      <c r="H28" s="108">
        <f>'Проверочная  таблица'!DX29</f>
        <v>0</v>
      </c>
      <c r="I28" s="107">
        <f>'Проверочная  таблица'!EF29</f>
        <v>0</v>
      </c>
      <c r="J28" s="109">
        <f>'Проверочная  таблица'!DZ29</f>
        <v>0</v>
      </c>
      <c r="K28" s="108">
        <f>'Проверочная  таблица'!EH29</f>
        <v>0</v>
      </c>
      <c r="L28" s="108">
        <f>'Проверочная  таблица'!EU29</f>
        <v>3010350</v>
      </c>
      <c r="M28" s="108">
        <f>'Проверочная  таблица'!EX29</f>
        <v>0</v>
      </c>
      <c r="N28" s="108">
        <f>'Проверочная  таблица'!FA29</f>
        <v>0</v>
      </c>
      <c r="O28" s="107">
        <f>'Проверочная  таблица'!FD29</f>
        <v>0</v>
      </c>
      <c r="P28" s="109">
        <f>'Проверочная  таблица'!FG29</f>
        <v>0</v>
      </c>
      <c r="Q28" s="108">
        <f>'Проверочная  таблица'!FL29</f>
        <v>0</v>
      </c>
      <c r="R28" s="108">
        <f>'Проверочная  таблица'!FI29</f>
        <v>0</v>
      </c>
      <c r="S28" s="107">
        <f>'Проверочная  таблица'!FN29</f>
        <v>0</v>
      </c>
      <c r="T28" s="108">
        <f>'Проверочная  таблица'!FQ29</f>
        <v>0</v>
      </c>
      <c r="U28" s="107">
        <f>'Проверочная  таблица'!FT29</f>
        <v>0</v>
      </c>
      <c r="V28" s="109">
        <f>'Проверочная  таблица'!FW29</f>
        <v>0</v>
      </c>
      <c r="W28" s="107">
        <f>'Проверочная  таблица'!FZ29</f>
        <v>0</v>
      </c>
      <c r="X28" s="109">
        <f>'Проверочная  таблица'!GC29+'Проверочная  таблица'!GI29</f>
        <v>1223997.6599999999</v>
      </c>
      <c r="Y28" s="108">
        <f>'Проверочная  таблица'!GF29+'Проверочная  таблица'!GL29</f>
        <v>1223997.6599999999</v>
      </c>
      <c r="Z28" s="108">
        <f>'Проверочная  таблица'!HA29</f>
        <v>0</v>
      </c>
      <c r="AA28" s="107">
        <f>'Проверочная  таблица'!HD29</f>
        <v>0</v>
      </c>
      <c r="AB28" s="109">
        <f>'Проверочная  таблица'!HI29+'Проверочная  таблица'!IA29</f>
        <v>4136.47</v>
      </c>
      <c r="AC28" s="107">
        <f>'Проверочная  таблица'!IJ29+'Проверочная  таблица'!HR29</f>
        <v>4136.47</v>
      </c>
      <c r="AD28" s="109">
        <f>'Проверочная  таблица'!HK29+'Проверочная  таблица'!IC29</f>
        <v>0</v>
      </c>
      <c r="AE28" s="108">
        <f>'Проверочная  таблица'!IL29+'Проверочная  таблица'!HT29</f>
        <v>0</v>
      </c>
      <c r="AF28" s="108">
        <f>'Проверочная  таблица'!HM29+'Проверочная  таблица'!IE29</f>
        <v>0</v>
      </c>
      <c r="AG28" s="108">
        <f>'Проверочная  таблица'!HV29+'Проверочная  таблица'!IN29</f>
        <v>0</v>
      </c>
      <c r="AH28" s="108">
        <f>'Проверочная  таблица'!HG29+'Проверочная  таблица'!HY29</f>
        <v>0</v>
      </c>
      <c r="AI28" s="107">
        <f>'Проверочная  таблица'!IH29+'Проверочная  таблица'!HP29</f>
        <v>0</v>
      </c>
      <c r="AJ28" s="108">
        <f>'Проверочная  таблица'!KA29</f>
        <v>0</v>
      </c>
      <c r="AK28" s="108">
        <f>'Проверочная  таблица'!KF29</f>
        <v>0</v>
      </c>
      <c r="AL28" s="108">
        <f>'Проверочная  таблица'!KC29</f>
        <v>0</v>
      </c>
      <c r="AM28" s="108">
        <f>'Проверочная  таблица'!KH29</f>
        <v>0</v>
      </c>
      <c r="AN28" s="108">
        <f>'Проверочная  таблица'!KL29</f>
        <v>0</v>
      </c>
      <c r="AO28" s="107">
        <f>'Проверочная  таблица'!KR29</f>
        <v>0</v>
      </c>
      <c r="AP28" s="109">
        <f>'Проверочная  таблица'!KN29</f>
        <v>0</v>
      </c>
      <c r="AQ28" s="107">
        <f>'Проверочная  таблица'!KT29</f>
        <v>0</v>
      </c>
      <c r="AR28" s="108">
        <f>'Проверочная  таблица'!KX29</f>
        <v>0</v>
      </c>
      <c r="AS28" s="107">
        <f>'Проверочная  таблица'!LB29</f>
        <v>0</v>
      </c>
      <c r="AT28" s="109">
        <f>'Проверочная  таблица'!LI29+'Проверочная  таблица'!LW29</f>
        <v>4275000</v>
      </c>
      <c r="AU28" s="107">
        <f>'Проверочная  таблица'!LP29+'Проверочная  таблица'!MB29</f>
        <v>3965178.4</v>
      </c>
      <c r="AV28" s="109">
        <f>'Проверочная  таблица'!LK29+'Проверочная  таблица'!LY29</f>
        <v>0</v>
      </c>
      <c r="AW28" s="108">
        <f>'Проверочная  таблица'!LR29+'Проверочная  таблица'!MD29</f>
        <v>0</v>
      </c>
      <c r="AX28" s="108">
        <f>'Проверочная  таблица'!LM29</f>
        <v>0</v>
      </c>
      <c r="AY28" s="107">
        <f>'Проверочная  таблица'!LT29</f>
        <v>0</v>
      </c>
      <c r="AZ28" s="109">
        <f>'Проверочная  таблица'!NE29</f>
        <v>0</v>
      </c>
      <c r="BA28" s="107">
        <f>'Проверочная  таблица'!NH29</f>
        <v>0</v>
      </c>
      <c r="BB28" s="108">
        <f>'Проверочная  таблица'!NW29</f>
        <v>0</v>
      </c>
      <c r="BC28" s="108">
        <f>'Проверочная  таблица'!NZ29</f>
        <v>0</v>
      </c>
      <c r="BD28" s="107">
        <f>'Проверочная  таблица'!OW29+'Проверочная  таблица'!PM29</f>
        <v>0</v>
      </c>
      <c r="BE28" s="474">
        <f>'Проверочная  таблица'!PD29+'Проверочная  таблица'!PV29</f>
        <v>0</v>
      </c>
      <c r="BF28" s="108">
        <f>'Проверочная  таблица'!PI29</f>
        <v>0</v>
      </c>
      <c r="BG28" s="108">
        <f>'Проверочная  таблица'!PR29</f>
        <v>0</v>
      </c>
      <c r="BH28" s="108">
        <f>'Проверочная  таблица'!OU29+'Проверочная  таблица'!PK29</f>
        <v>0</v>
      </c>
      <c r="BI28" s="107">
        <f>'Проверочная  таблица'!PB29+'Проверочная  таблица'!PT29</f>
        <v>0</v>
      </c>
      <c r="BJ28" s="109">
        <f>'Проверочная  таблица'!OY29+'Проверочная  таблица'!PO29</f>
        <v>0</v>
      </c>
      <c r="BK28" s="108">
        <f>'Проверочная  таблица'!PF29+'Проверочная  таблица'!PX29</f>
        <v>0</v>
      </c>
      <c r="BL28" s="108">
        <f t="shared" si="4"/>
        <v>8177779</v>
      </c>
      <c r="BM28" s="107">
        <f t="shared" si="5"/>
        <v>5434681.2400000002</v>
      </c>
      <c r="BN28" s="109">
        <f>'Проверочная  таблица'!SE29</f>
        <v>1820600</v>
      </c>
      <c r="BO28" s="107">
        <f>'Проверочная  таблица'!SF29</f>
        <v>1150721.6599999999</v>
      </c>
      <c r="BP28" s="100">
        <f>'Проверочная  таблица'!SG29</f>
        <v>2000</v>
      </c>
      <c r="BQ28" s="100">
        <f>'Проверочная  таблица'!SH29</f>
        <v>0</v>
      </c>
      <c r="BR28" s="272">
        <f>'Проверочная  таблица'!SI29</f>
        <v>3705178.9999999995</v>
      </c>
      <c r="BS28" s="444">
        <f>'Проверочная  таблица'!SJ29</f>
        <v>2467584</v>
      </c>
      <c r="BT28" s="166">
        <f>'Проверочная  таблица'!SK29</f>
        <v>0</v>
      </c>
      <c r="BU28" s="444">
        <f>'Проверочная  таблица'!SL29</f>
        <v>0</v>
      </c>
      <c r="BV28" s="166">
        <f>'Проверочная  таблица'!SM29</f>
        <v>0</v>
      </c>
      <c r="BW28" s="444">
        <f>'Проверочная  таблица'!SN29</f>
        <v>0</v>
      </c>
      <c r="BX28" s="272">
        <f>'Проверочная  таблица'!SO29</f>
        <v>0</v>
      </c>
      <c r="BY28" s="444">
        <f>'Проверочная  таблица'!SP29</f>
        <v>0</v>
      </c>
      <c r="BZ28" s="109">
        <f>'Проверочная  таблица'!SS29</f>
        <v>2650000</v>
      </c>
      <c r="CA28" s="108">
        <f>'Проверочная  таблица'!SV29</f>
        <v>1816375.58</v>
      </c>
      <c r="CB28" s="108">
        <f t="shared" si="6"/>
        <v>0</v>
      </c>
      <c r="CC28" s="107">
        <f t="shared" si="7"/>
        <v>0</v>
      </c>
      <c r="CD28" s="109">
        <f>'Проверочная  таблица'!TA29</f>
        <v>0</v>
      </c>
      <c r="CE28" s="108">
        <f>'Проверочная  таблица'!TJ29</f>
        <v>0</v>
      </c>
      <c r="CF28" s="107">
        <f>'Проверочная  таблица'!TC29</f>
        <v>0</v>
      </c>
      <c r="CG28" s="109">
        <f>'Проверочная  таблица'!TL29</f>
        <v>0</v>
      </c>
      <c r="CH28" s="108">
        <f>'Проверочная  таблица'!TE29</f>
        <v>0</v>
      </c>
      <c r="CI28" s="107">
        <f>'Проверочная  таблица'!TN29</f>
        <v>0</v>
      </c>
      <c r="CJ28" s="109">
        <f>'Проверочная  таблица'!TR29+'Проверочная  таблица'!TV29</f>
        <v>0</v>
      </c>
      <c r="CK28" s="107">
        <f>'Проверочная  таблица'!TT29+'Проверочная  таблица'!TX29</f>
        <v>0</v>
      </c>
      <c r="CL28" s="109">
        <f>'Проверочная  таблица'!UD29+'Проверочная  таблица'!UJ29</f>
        <v>0</v>
      </c>
      <c r="CM28" s="107">
        <f>'Проверочная  таблица'!UG29+'Проверочная  таблица'!UM29</f>
        <v>0</v>
      </c>
      <c r="CN28" s="109">
        <f>'Проверочная  таблица'!UE29+'Проверочная  таблица'!UK29</f>
        <v>0</v>
      </c>
      <c r="CO28" s="108">
        <f>'Проверочная  таблица'!UH29+'Проверочная  таблица'!UN29</f>
        <v>0</v>
      </c>
      <c r="CP28" s="108">
        <f>'Проверочная  таблица'!UU29</f>
        <v>0</v>
      </c>
      <c r="CQ28" s="107">
        <f>'Проверочная  таблица'!UX29</f>
        <v>0</v>
      </c>
      <c r="CS28" s="1026">
        <f t="shared" si="8"/>
        <v>6357.1790000000001</v>
      </c>
      <c r="CT28" s="1026">
        <f t="shared" si="9"/>
        <v>4283.9595799999997</v>
      </c>
    </row>
    <row r="29" spans="1:98" ht="25.5" customHeight="1" thickBot="1" x14ac:dyDescent="0.35">
      <c r="A29" s="153" t="s">
        <v>113</v>
      </c>
      <c r="B29" s="112">
        <f t="shared" ref="B29:E29" si="10">SUM(B11:B28)</f>
        <v>878377058.28000021</v>
      </c>
      <c r="C29" s="112">
        <f t="shared" si="10"/>
        <v>513367492.63</v>
      </c>
      <c r="D29" s="114">
        <f t="shared" si="10"/>
        <v>558811679.27999997</v>
      </c>
      <c r="E29" s="114">
        <f t="shared" si="10"/>
        <v>282582227.05999994</v>
      </c>
      <c r="F29" s="111">
        <f t="shared" ref="F29:AW29" si="11">SUM(F11:F28)</f>
        <v>65065208.160000004</v>
      </c>
      <c r="G29" s="112">
        <f t="shared" si="11"/>
        <v>36917740.990000002</v>
      </c>
      <c r="H29" s="112">
        <f t="shared" ref="H29:I29" si="12">SUM(H11:H28)</f>
        <v>0</v>
      </c>
      <c r="I29" s="111">
        <f t="shared" si="12"/>
        <v>0</v>
      </c>
      <c r="J29" s="112">
        <f t="shared" si="11"/>
        <v>1842356.4</v>
      </c>
      <c r="K29" s="112">
        <f t="shared" si="11"/>
        <v>0</v>
      </c>
      <c r="L29" s="112">
        <f>SUM(L11:L28)</f>
        <v>6020700</v>
      </c>
      <c r="M29" s="112">
        <f>SUM(M11:M28)</f>
        <v>0</v>
      </c>
      <c r="N29" s="112">
        <f>SUM(N11:N28)</f>
        <v>0</v>
      </c>
      <c r="O29" s="111">
        <f>SUM(O11:O28)</f>
        <v>0</v>
      </c>
      <c r="P29" s="112">
        <f t="shared" ref="P29:Q29" si="13">SUM(P11:P28)</f>
        <v>19048320</v>
      </c>
      <c r="Q29" s="111">
        <f t="shared" si="13"/>
        <v>2721180</v>
      </c>
      <c r="R29" s="115">
        <f t="shared" ref="R29:S29" si="14">SUM(R11:R28)</f>
        <v>0</v>
      </c>
      <c r="S29" s="111">
        <f t="shared" si="14"/>
        <v>0</v>
      </c>
      <c r="T29" s="112">
        <f t="shared" ref="T29:U29" si="15">SUM(T11:T28)</f>
        <v>109931525.98999999</v>
      </c>
      <c r="U29" s="111">
        <f t="shared" si="15"/>
        <v>28115776.82</v>
      </c>
      <c r="V29" s="112">
        <f t="shared" si="11"/>
        <v>0</v>
      </c>
      <c r="W29" s="111">
        <f t="shared" si="11"/>
        <v>0</v>
      </c>
      <c r="X29" s="112">
        <f t="shared" si="11"/>
        <v>18848700.039999999</v>
      </c>
      <c r="Y29" s="111">
        <f t="shared" si="11"/>
        <v>17937970.479999997</v>
      </c>
      <c r="Z29" s="112">
        <f t="shared" ref="Z29:AA29" si="16">SUM(Z11:Z28)</f>
        <v>0</v>
      </c>
      <c r="AA29" s="111">
        <f t="shared" si="16"/>
        <v>0</v>
      </c>
      <c r="AB29" s="115">
        <f t="shared" si="11"/>
        <v>192346.00000000003</v>
      </c>
      <c r="AC29" s="111">
        <f t="shared" si="11"/>
        <v>192346.00000000003</v>
      </c>
      <c r="AD29" s="112">
        <f t="shared" si="11"/>
        <v>240900</v>
      </c>
      <c r="AE29" s="111">
        <f t="shared" si="11"/>
        <v>240900</v>
      </c>
      <c r="AF29" s="112">
        <f t="shared" si="11"/>
        <v>0</v>
      </c>
      <c r="AG29" s="111">
        <f t="shared" si="11"/>
        <v>0</v>
      </c>
      <c r="AH29" s="112">
        <f t="shared" ref="AH29:AI29" si="17">SUM(AH11:AH28)</f>
        <v>44458800</v>
      </c>
      <c r="AI29" s="111">
        <f t="shared" si="17"/>
        <v>8044658.96</v>
      </c>
      <c r="AJ29" s="112">
        <f t="shared" si="11"/>
        <v>156353100</v>
      </c>
      <c r="AK29" s="111">
        <f t="shared" si="11"/>
        <v>113162414.44999999</v>
      </c>
      <c r="AL29" s="115">
        <f t="shared" ref="AL29:AM29" si="18">SUM(AL11:AL28)</f>
        <v>0</v>
      </c>
      <c r="AM29" s="111">
        <f t="shared" si="18"/>
        <v>0</v>
      </c>
      <c r="AN29" s="112">
        <f>SUM(AN11:AN28)</f>
        <v>0</v>
      </c>
      <c r="AO29" s="111">
        <f>SUM(AO11:AO28)</f>
        <v>0</v>
      </c>
      <c r="AP29" s="112">
        <f>SUM(AP11:AP28)</f>
        <v>0</v>
      </c>
      <c r="AQ29" s="111">
        <f>SUM(AQ11:AQ28)</f>
        <v>0</v>
      </c>
      <c r="AR29" s="112">
        <f t="shared" si="11"/>
        <v>0</v>
      </c>
      <c r="AS29" s="111">
        <f t="shared" si="11"/>
        <v>0</v>
      </c>
      <c r="AT29" s="112">
        <f t="shared" si="11"/>
        <v>32296300</v>
      </c>
      <c r="AU29" s="111">
        <f t="shared" si="11"/>
        <v>16419165.65</v>
      </c>
      <c r="AV29" s="115">
        <f t="shared" si="11"/>
        <v>22800000</v>
      </c>
      <c r="AW29" s="111">
        <f t="shared" si="11"/>
        <v>15124007.6</v>
      </c>
      <c r="AX29" s="115">
        <f t="shared" ref="AX29:AY29" si="19">SUM(AX11:AX28)</f>
        <v>0</v>
      </c>
      <c r="AY29" s="111">
        <f t="shared" si="19"/>
        <v>0</v>
      </c>
      <c r="AZ29" s="112">
        <f t="shared" ref="AZ29:BG29" si="20">SUM(AZ11:AZ28)</f>
        <v>1688800</v>
      </c>
      <c r="BA29" s="111">
        <f t="shared" si="20"/>
        <v>1396786.19</v>
      </c>
      <c r="BB29" s="112">
        <f t="shared" si="20"/>
        <v>0</v>
      </c>
      <c r="BC29" s="112">
        <f t="shared" si="20"/>
        <v>0</v>
      </c>
      <c r="BD29" s="111">
        <f t="shared" si="20"/>
        <v>1466000</v>
      </c>
      <c r="BE29" s="812">
        <f t="shared" si="20"/>
        <v>0</v>
      </c>
      <c r="BF29" s="112">
        <f t="shared" si="20"/>
        <v>29278500</v>
      </c>
      <c r="BG29" s="111">
        <f t="shared" si="20"/>
        <v>24268288.16</v>
      </c>
      <c r="BH29" s="112">
        <f t="shared" ref="BH29:BI29" si="21">SUM(BH11:BH28)</f>
        <v>7879434.7299999995</v>
      </c>
      <c r="BI29" s="111">
        <f t="shared" si="21"/>
        <v>3216230.96</v>
      </c>
      <c r="BJ29" s="112">
        <f>SUM(BJ11:BJ28)</f>
        <v>41400687.959999993</v>
      </c>
      <c r="BK29" s="111">
        <f>SUM(BK11:BK28)</f>
        <v>14824760.800000001</v>
      </c>
      <c r="BL29" s="112">
        <f t="shared" ref="BL29:CA29" si="22">SUM(BL11:BL28)</f>
        <v>109565379</v>
      </c>
      <c r="BM29" s="111">
        <f t="shared" si="22"/>
        <v>70023658.810000002</v>
      </c>
      <c r="BN29" s="112">
        <f t="shared" si="22"/>
        <v>27501500</v>
      </c>
      <c r="BO29" s="111">
        <f t="shared" si="22"/>
        <v>17901519.810000002</v>
      </c>
      <c r="BP29" s="114">
        <f t="shared" si="22"/>
        <v>52200</v>
      </c>
      <c r="BQ29" s="114">
        <f t="shared" si="22"/>
        <v>26384.5</v>
      </c>
      <c r="BR29" s="112">
        <f t="shared" si="22"/>
        <v>36917190</v>
      </c>
      <c r="BS29" s="111">
        <f t="shared" si="22"/>
        <v>18045144</v>
      </c>
      <c r="BT29" s="445">
        <f t="shared" si="22"/>
        <v>1223918</v>
      </c>
      <c r="BU29" s="111">
        <f t="shared" si="22"/>
        <v>1191816</v>
      </c>
      <c r="BV29" s="445">
        <f>SUM(BV11:BV28)</f>
        <v>2447460</v>
      </c>
      <c r="BW29" s="111">
        <f>SUM(BW11:BW28)</f>
        <v>2383632</v>
      </c>
      <c r="BX29" s="114">
        <f t="shared" si="22"/>
        <v>0</v>
      </c>
      <c r="BY29" s="111">
        <f t="shared" si="22"/>
        <v>0</v>
      </c>
      <c r="BZ29" s="115">
        <f t="shared" si="22"/>
        <v>41423111</v>
      </c>
      <c r="CA29" s="111">
        <f t="shared" si="22"/>
        <v>30475162.5</v>
      </c>
      <c r="CB29" s="112">
        <f t="shared" ref="CB29:CM29" si="23">SUM(CB11:CB28)</f>
        <v>210000000</v>
      </c>
      <c r="CC29" s="111">
        <f t="shared" si="23"/>
        <v>160761606.75999999</v>
      </c>
      <c r="CD29" s="112">
        <f t="shared" ref="CD29:CE29" si="24">SUM(CD11:CD28)</f>
        <v>0</v>
      </c>
      <c r="CE29" s="112">
        <f t="shared" si="24"/>
        <v>0</v>
      </c>
      <c r="CF29" s="111">
        <f t="shared" ref="CF29:CK29" si="25">SUM(CF11:CF28)</f>
        <v>0</v>
      </c>
      <c r="CG29" s="812">
        <f t="shared" si="25"/>
        <v>0</v>
      </c>
      <c r="CH29" s="112">
        <f t="shared" ref="CH29:CI29" si="26">SUM(CH11:CH28)</f>
        <v>0</v>
      </c>
      <c r="CI29" s="111">
        <f t="shared" si="26"/>
        <v>0</v>
      </c>
      <c r="CJ29" s="112">
        <f t="shared" si="25"/>
        <v>190000000</v>
      </c>
      <c r="CK29" s="111">
        <f t="shared" si="25"/>
        <v>140761606.75999999</v>
      </c>
      <c r="CL29" s="115">
        <f t="shared" si="23"/>
        <v>0</v>
      </c>
      <c r="CM29" s="111">
        <f t="shared" si="23"/>
        <v>0</v>
      </c>
      <c r="CN29" s="115">
        <f t="shared" ref="CN29:CQ29" si="27">SUM(CN11:CN28)</f>
        <v>20000000</v>
      </c>
      <c r="CO29" s="111">
        <f t="shared" si="27"/>
        <v>20000000</v>
      </c>
      <c r="CP29" s="112">
        <f t="shared" si="27"/>
        <v>0</v>
      </c>
      <c r="CQ29" s="111">
        <f t="shared" si="27"/>
        <v>0</v>
      </c>
      <c r="CS29" s="1026">
        <f t="shared" si="8"/>
        <v>82063.879000000001</v>
      </c>
      <c r="CT29" s="1026">
        <f t="shared" si="9"/>
        <v>52122.139000000003</v>
      </c>
    </row>
    <row r="30" spans="1:98" ht="25.5" customHeight="1" x14ac:dyDescent="0.3">
      <c r="A30" s="105"/>
      <c r="B30" s="121"/>
      <c r="C30" s="198"/>
      <c r="D30" s="154"/>
      <c r="E30" s="154"/>
      <c r="F30" s="122"/>
      <c r="G30" s="120"/>
      <c r="H30" s="198"/>
      <c r="I30" s="119"/>
      <c r="J30" s="198"/>
      <c r="K30" s="119"/>
      <c r="L30" s="122"/>
      <c r="M30" s="818"/>
      <c r="N30" s="198"/>
      <c r="O30" s="119"/>
      <c r="P30" s="198"/>
      <c r="Q30" s="119"/>
      <c r="R30" s="122"/>
      <c r="S30" s="119"/>
      <c r="T30" s="198"/>
      <c r="U30" s="119"/>
      <c r="V30" s="198"/>
      <c r="W30" s="119"/>
      <c r="X30" s="198"/>
      <c r="Y30" s="119"/>
      <c r="Z30" s="198"/>
      <c r="AA30" s="119"/>
      <c r="AB30" s="664"/>
      <c r="AC30" s="117"/>
      <c r="AD30" s="664"/>
      <c r="AE30" s="117"/>
      <c r="AF30" s="198"/>
      <c r="AG30" s="119"/>
      <c r="AH30" s="198"/>
      <c r="AI30" s="119"/>
      <c r="AJ30" s="198"/>
      <c r="AK30" s="119"/>
      <c r="AL30" s="122"/>
      <c r="AM30" s="119"/>
      <c r="AN30" s="198"/>
      <c r="AO30" s="119"/>
      <c r="AP30" s="198"/>
      <c r="AQ30" s="119"/>
      <c r="AR30" s="198"/>
      <c r="AS30" s="119"/>
      <c r="AT30" s="198"/>
      <c r="AU30" s="119"/>
      <c r="AV30" s="198"/>
      <c r="AW30" s="119"/>
      <c r="AX30" s="198"/>
      <c r="AY30" s="119"/>
      <c r="AZ30" s="198"/>
      <c r="BA30" s="119"/>
      <c r="BB30" s="198"/>
      <c r="BC30" s="818"/>
      <c r="BD30" s="120"/>
      <c r="BE30" s="813"/>
      <c r="BF30" s="198"/>
      <c r="BG30" s="119"/>
      <c r="BH30" s="198"/>
      <c r="BI30" s="119"/>
      <c r="BJ30" s="198"/>
      <c r="BK30" s="119"/>
      <c r="BL30" s="253"/>
      <c r="BM30" s="154"/>
      <c r="BN30" s="122"/>
      <c r="BO30" s="119"/>
      <c r="BP30" s="113"/>
      <c r="BQ30" s="113"/>
      <c r="BR30" s="196"/>
      <c r="BS30" s="123"/>
      <c r="BT30" s="446"/>
      <c r="BU30" s="123"/>
      <c r="BV30" s="446"/>
      <c r="BW30" s="123"/>
      <c r="BX30" s="123"/>
      <c r="BY30" s="123"/>
      <c r="BZ30" s="122"/>
      <c r="CA30" s="120"/>
      <c r="CB30" s="253"/>
      <c r="CC30" s="154"/>
      <c r="CD30" s="198"/>
      <c r="CE30" s="119"/>
      <c r="CF30" s="198"/>
      <c r="CG30" s="119"/>
      <c r="CH30" s="198"/>
      <c r="CI30" s="119"/>
      <c r="CJ30" s="198"/>
      <c r="CK30" s="119"/>
      <c r="CL30" s="122"/>
      <c r="CM30" s="119"/>
      <c r="CN30" s="198"/>
      <c r="CO30" s="119"/>
      <c r="CP30" s="198"/>
      <c r="CQ30" s="119"/>
      <c r="CS30" s="1026">
        <f t="shared" si="8"/>
        <v>0</v>
      </c>
      <c r="CT30" s="1026">
        <f t="shared" si="9"/>
        <v>0</v>
      </c>
    </row>
    <row r="31" spans="1:98" ht="25.5" customHeight="1" x14ac:dyDescent="0.3">
      <c r="A31" s="102" t="s">
        <v>5</v>
      </c>
      <c r="B31" s="103">
        <f>D31+BL31+CB31</f>
        <v>134143375.90000001</v>
      </c>
      <c r="C31" s="103">
        <f>E31+BM31+CC31</f>
        <v>40159972.380000003</v>
      </c>
      <c r="D31" s="101">
        <f t="shared" ref="D31:D32" si="28">J31+L31+AB31+AD31+X31+BB31+AT31+AV31+F31+AJ31+BH31+AP31+AR31+AZ31+BF31+BJ31+BD31+V31+AF31+P31+AH31+H31+R31+T31+AL31+AN31+AX31+Z31+N31</f>
        <v>74855661.900000006</v>
      </c>
      <c r="E31" s="101">
        <f t="shared" ref="E31:E32" si="29">K31+M31+AC31+AE31+Y31+BC31+AU31+AW31+G31+AK31+BI31+AQ31+AS31+BA31+BG31+BK31+BE31+W31+AG31+Q31+AI31+I31+S31+U31+AM31+AO31+AY31+AA31+O31</f>
        <v>11781397.73</v>
      </c>
      <c r="F31" s="104">
        <f>'Проверочная  таблица'!DE32+'Проверочная  таблица'!DG32</f>
        <v>13574122.119999999</v>
      </c>
      <c r="G31" s="101">
        <f>'Проверочная  таблица'!DF32+'Проверочная  таблица'!DH32</f>
        <v>4072236.64</v>
      </c>
      <c r="H31" s="103">
        <f>'Проверочная  таблица'!DX32</f>
        <v>0</v>
      </c>
      <c r="I31" s="101">
        <f>'Проверочная  таблица'!EF32</f>
        <v>0</v>
      </c>
      <c r="J31" s="103">
        <f>'Проверочная  таблица'!DZ32</f>
        <v>0</v>
      </c>
      <c r="K31" s="101">
        <f>'Проверочная  таблица'!EH32</f>
        <v>0</v>
      </c>
      <c r="L31" s="104">
        <f>'Проверочная  таблица'!EU32</f>
        <v>0</v>
      </c>
      <c r="M31" s="103">
        <f>'Проверочная  таблица'!EX32</f>
        <v>0</v>
      </c>
      <c r="N31" s="103">
        <f>'Проверочная  таблица'!FA32</f>
        <v>0</v>
      </c>
      <c r="O31" s="101">
        <f>'Проверочная  таблица'!FD32</f>
        <v>0</v>
      </c>
      <c r="P31" s="103">
        <f>'Проверочная  таблица'!FG32</f>
        <v>2721180</v>
      </c>
      <c r="Q31" s="101">
        <f>'Проверочная  таблица'!FL32</f>
        <v>0</v>
      </c>
      <c r="R31" s="103">
        <f>'Проверочная  таблица'!FI32</f>
        <v>0</v>
      </c>
      <c r="S31" s="101">
        <f>'Проверочная  таблица'!FN32</f>
        <v>0</v>
      </c>
      <c r="T31" s="103">
        <f>'Проверочная  таблица'!FQ32</f>
        <v>0</v>
      </c>
      <c r="U31" s="101">
        <f>'Проверочная  таблица'!FT32</f>
        <v>0</v>
      </c>
      <c r="V31" s="103">
        <f>'Проверочная  таблица'!FW32</f>
        <v>4379100</v>
      </c>
      <c r="W31" s="101">
        <f>'Проверочная  таблица'!FZ32</f>
        <v>3837218.05</v>
      </c>
      <c r="X31" s="103">
        <f>'Проверочная  таблица'!GC32+'Проверочная  таблица'!GI32</f>
        <v>0</v>
      </c>
      <c r="Y31" s="101">
        <f>'Проверочная  таблица'!GF32+'Проверочная  таблица'!GL32</f>
        <v>0</v>
      </c>
      <c r="Z31" s="103">
        <f>'Проверочная  таблица'!HA32</f>
        <v>0</v>
      </c>
      <c r="AA31" s="101">
        <f>'Проверочная  таблица'!HD32</f>
        <v>0</v>
      </c>
      <c r="AB31" s="103">
        <f>'Проверочная  таблица'!HI32+'Проверочная  таблица'!IA32</f>
        <v>26059.78</v>
      </c>
      <c r="AC31" s="101">
        <f>'Проверочная  таблица'!IJ32+'Проверочная  таблица'!HR32</f>
        <v>26059.78</v>
      </c>
      <c r="AD31" s="103">
        <f>'Проверочная  таблица'!HK32+'Проверочная  таблица'!IC32</f>
        <v>0</v>
      </c>
      <c r="AE31" s="101">
        <f>'Проверочная  таблица'!IL32+'Проверочная  таблица'!HT32</f>
        <v>0</v>
      </c>
      <c r="AF31" s="103">
        <f>'Проверочная  таблица'!HM32+'Проверочная  таблица'!IE32</f>
        <v>0</v>
      </c>
      <c r="AG31" s="101">
        <f>'Проверочная  таблица'!HV32+'Проверочная  таблица'!IN32</f>
        <v>0</v>
      </c>
      <c r="AH31" s="103">
        <f>'Проверочная  таблица'!HG32+'Проверочная  таблица'!HY32</f>
        <v>0</v>
      </c>
      <c r="AI31" s="101">
        <f>'Проверочная  таблица'!IH32+'Проверочная  таблица'!HP32</f>
        <v>0</v>
      </c>
      <c r="AJ31" s="103">
        <f>'Проверочная  таблица'!KA32</f>
        <v>0</v>
      </c>
      <c r="AK31" s="101">
        <f>'Проверочная  таблица'!KF32</f>
        <v>0</v>
      </c>
      <c r="AL31" s="103">
        <f>'Проверочная  таблица'!KC32</f>
        <v>0</v>
      </c>
      <c r="AM31" s="101">
        <f>'Проверочная  таблица'!KH32</f>
        <v>0</v>
      </c>
      <c r="AN31" s="103">
        <f>'Проверочная  таблица'!KL32</f>
        <v>0</v>
      </c>
      <c r="AO31" s="101">
        <f>'Проверочная  таблица'!KR32</f>
        <v>0</v>
      </c>
      <c r="AP31" s="103">
        <f>'Проверочная  таблица'!KN32</f>
        <v>0</v>
      </c>
      <c r="AQ31" s="101">
        <f>'Проверочная  таблица'!KT32</f>
        <v>0</v>
      </c>
      <c r="AR31" s="103">
        <f>'Проверочная  таблица'!KX32</f>
        <v>0</v>
      </c>
      <c r="AS31" s="101">
        <f>'Проверочная  таблица'!LB32</f>
        <v>0</v>
      </c>
      <c r="AT31" s="103">
        <f>'Проверочная  таблица'!LI32+'Проверочная  таблица'!LW32</f>
        <v>23750000</v>
      </c>
      <c r="AU31" s="101">
        <f>'Проверочная  таблица'!LP32+'Проверочная  таблица'!MB32</f>
        <v>3290019.26</v>
      </c>
      <c r="AV31" s="104">
        <f>'Проверочная  таблица'!LK32+'Проверочная  таблица'!LY32</f>
        <v>30400000</v>
      </c>
      <c r="AW31" s="101">
        <f>'Проверочная  таблица'!LR32+'Проверочная  таблица'!MD32</f>
        <v>555864</v>
      </c>
      <c r="AX31" s="103">
        <f>'Проверочная  таблица'!LM32</f>
        <v>5200</v>
      </c>
      <c r="AY31" s="101">
        <f>'Проверочная  таблица'!LT32</f>
        <v>0</v>
      </c>
      <c r="AZ31" s="103">
        <f>'Проверочная  таблица'!NE32</f>
        <v>0</v>
      </c>
      <c r="BA31" s="101">
        <f>'Проверочная  таблица'!NH32</f>
        <v>0</v>
      </c>
      <c r="BB31" s="103">
        <f>'Проверочная  таблица'!NW32</f>
        <v>0</v>
      </c>
      <c r="BC31" s="103">
        <f>'Проверочная  таблица'!NZ32</f>
        <v>0</v>
      </c>
      <c r="BD31" s="101">
        <f>'Проверочная  таблица'!OW32+'Проверочная  таблица'!PM32</f>
        <v>0</v>
      </c>
      <c r="BE31" s="100">
        <f>'Проверочная  таблица'!PD32+'Проверочная  таблица'!PV32</f>
        <v>0</v>
      </c>
      <c r="BF31" s="103">
        <f>'Проверочная  таблица'!PI32</f>
        <v>0</v>
      </c>
      <c r="BG31" s="101">
        <f>'Проверочная  таблица'!PR32</f>
        <v>0</v>
      </c>
      <c r="BH31" s="103">
        <f>'Проверочная  таблица'!OU32+'Проверочная  таблица'!PK32</f>
        <v>0</v>
      </c>
      <c r="BI31" s="101">
        <f>'Проверочная  таблица'!PB32+'Проверочная  таблица'!PT32</f>
        <v>0</v>
      </c>
      <c r="BJ31" s="103">
        <f>'Проверочная  таблица'!OY32+'Проверочная  таблица'!PO32</f>
        <v>0</v>
      </c>
      <c r="BK31" s="101">
        <f>'Проверочная  таблица'!PF32+'Проверочная  таблица'!PX32</f>
        <v>0</v>
      </c>
      <c r="BL31" s="103">
        <f>BZ31+BN31+BT31+BP31+BX31+BR31+BV31</f>
        <v>9287714</v>
      </c>
      <c r="BM31" s="101">
        <f>CA31+BO31+BU31+BQ31+BY31+BS31+BW31</f>
        <v>7878574.6500000004</v>
      </c>
      <c r="BN31" s="104">
        <f>'Проверочная  таблица'!SE32</f>
        <v>0</v>
      </c>
      <c r="BO31" s="101">
        <f>'Проверочная  таблица'!SF32</f>
        <v>0</v>
      </c>
      <c r="BP31" s="100">
        <f>'Проверочная  таблица'!SG32</f>
        <v>17000</v>
      </c>
      <c r="BQ31" s="100">
        <f>'Проверочная  таблица'!SH32</f>
        <v>17000</v>
      </c>
      <c r="BR31" s="271">
        <f>'Проверочная  таблица'!SI32</f>
        <v>3595902</v>
      </c>
      <c r="BS31" s="163">
        <f>'Проверочная  таблица'!SJ32</f>
        <v>3575448</v>
      </c>
      <c r="BT31" s="447">
        <f>'Проверочная  таблица'!SK32</f>
        <v>611962</v>
      </c>
      <c r="BU31" s="163">
        <f>'Проверочная  таблица'!SL32</f>
        <v>595908</v>
      </c>
      <c r="BV31" s="447">
        <f>'Проверочная  таблица'!SM32</f>
        <v>1223730</v>
      </c>
      <c r="BW31" s="163">
        <f>'Проверочная  таблица'!SN32</f>
        <v>1191816</v>
      </c>
      <c r="BX31" s="163">
        <f>'Проверочная  таблица'!SO32</f>
        <v>0</v>
      </c>
      <c r="BY31" s="163">
        <f>'Проверочная  таблица'!SP32</f>
        <v>0</v>
      </c>
      <c r="BZ31" s="104">
        <f>'Проверочная  таблица'!SS32</f>
        <v>3839120</v>
      </c>
      <c r="CA31" s="101">
        <f>'Проверочная  таблица'!SV32</f>
        <v>2498402.65</v>
      </c>
      <c r="CB31" s="103">
        <f t="shared" ref="CB31:CB32" si="30">CL31+CD31+CN31+CP31+CF31+CJ31+CH31</f>
        <v>50000000</v>
      </c>
      <c r="CC31" s="101">
        <f t="shared" ref="CC31:CC32" si="31">CM31+CE31+CO31+CQ31+CG31+CK31+CI31</f>
        <v>20500000</v>
      </c>
      <c r="CD31" s="103">
        <f>'Проверочная  таблица'!TA32</f>
        <v>0</v>
      </c>
      <c r="CE31" s="101">
        <f>'Проверочная  таблица'!TJ32</f>
        <v>0</v>
      </c>
      <c r="CF31" s="101">
        <f>'Проверочная  таблица'!TC32</f>
        <v>0</v>
      </c>
      <c r="CG31" s="100">
        <f>'Проверочная  таблица'!TL32</f>
        <v>0</v>
      </c>
      <c r="CH31" s="103">
        <f>'Проверочная  таблица'!TE32</f>
        <v>0</v>
      </c>
      <c r="CI31" s="101">
        <f>'Проверочная  таблица'!TN32</f>
        <v>0</v>
      </c>
      <c r="CJ31" s="103">
        <f>'Проверочная  таблица'!TR32+'Проверочная  таблица'!TV32</f>
        <v>0</v>
      </c>
      <c r="CK31" s="101">
        <f>'Проверочная  таблица'!TT32+'Проверочная  таблица'!TX32</f>
        <v>0</v>
      </c>
      <c r="CL31" s="104">
        <f>'Проверочная  таблица'!UD32+'Проверочная  таблица'!UJ32</f>
        <v>0</v>
      </c>
      <c r="CM31" s="101">
        <f>'Проверочная  таблица'!UG32+'Проверочная  таблица'!UM32</f>
        <v>0</v>
      </c>
      <c r="CN31" s="104">
        <f>'Проверочная  таблица'!UE32+'Проверочная  таблица'!UK32</f>
        <v>50000000</v>
      </c>
      <c r="CO31" s="101">
        <f>'Проверочная  таблица'!UH32+'Проверочная  таблица'!UN32</f>
        <v>20500000</v>
      </c>
      <c r="CP31" s="103">
        <f>'Проверочная  таблица'!UU32</f>
        <v>0</v>
      </c>
      <c r="CQ31" s="101">
        <f>'Проверочная  таблица'!UX32</f>
        <v>0</v>
      </c>
      <c r="CS31" s="1026">
        <f t="shared" si="8"/>
        <v>9287.7139999999999</v>
      </c>
      <c r="CT31" s="1026">
        <f t="shared" si="9"/>
        <v>7878.5746500000005</v>
      </c>
    </row>
    <row r="32" spans="1:98" ht="25.5" customHeight="1" thickBot="1" x14ac:dyDescent="0.35">
      <c r="A32" s="105" t="s">
        <v>6</v>
      </c>
      <c r="B32" s="103">
        <f>D32+BL32+CB32</f>
        <v>1979835920.8299999</v>
      </c>
      <c r="C32" s="103">
        <f>E32+BM32+CC32</f>
        <v>851051420.40999997</v>
      </c>
      <c r="D32" s="269">
        <f t="shared" si="28"/>
        <v>1097860882.8299999</v>
      </c>
      <c r="E32" s="269">
        <f t="shared" si="29"/>
        <v>238431995.93000001</v>
      </c>
      <c r="F32" s="104">
        <f>'Проверочная  таблица'!DE33+'Проверочная  таблица'!DG33</f>
        <v>247463542.81</v>
      </c>
      <c r="G32" s="101">
        <f>'Проверочная  таблица'!DF33+'Проверочная  таблица'!DH33</f>
        <v>74239062.840000004</v>
      </c>
      <c r="H32" s="103">
        <f>'Проверочная  таблица'!DX33</f>
        <v>719971.8</v>
      </c>
      <c r="I32" s="101">
        <f>'Проверочная  таблица'!EF33</f>
        <v>0</v>
      </c>
      <c r="J32" s="103">
        <f>'Проверочная  таблица'!DZ33</f>
        <v>0</v>
      </c>
      <c r="K32" s="101">
        <f>'Проверочная  таблица'!EH33</f>
        <v>0</v>
      </c>
      <c r="L32" s="104">
        <f>'Проверочная  таблица'!EU33</f>
        <v>0</v>
      </c>
      <c r="M32" s="103">
        <f>'Проверочная  таблица'!EX33</f>
        <v>0</v>
      </c>
      <c r="N32" s="103">
        <f>'Проверочная  таблица'!FA33</f>
        <v>0</v>
      </c>
      <c r="O32" s="101">
        <f>'Проверочная  таблица'!FD33</f>
        <v>0</v>
      </c>
      <c r="P32" s="103">
        <f>'Проверочная  таблица'!FG33</f>
        <v>0</v>
      </c>
      <c r="Q32" s="101">
        <f>'Проверочная  таблица'!FL33</f>
        <v>0</v>
      </c>
      <c r="R32" s="103">
        <f>'Проверочная  таблица'!FI33</f>
        <v>40000000</v>
      </c>
      <c r="S32" s="101">
        <f>'Проверочная  таблица'!FN33</f>
        <v>14000000</v>
      </c>
      <c r="T32" s="103">
        <f>'Проверочная  таблица'!FQ33</f>
        <v>251648074.00999999</v>
      </c>
      <c r="U32" s="101">
        <f>'Проверочная  таблица'!FT33</f>
        <v>2110659.88</v>
      </c>
      <c r="V32" s="108">
        <f>'Проверочная  таблица'!FW33</f>
        <v>0</v>
      </c>
      <c r="W32" s="107">
        <f>'Проверочная  таблица'!FZ33</f>
        <v>0</v>
      </c>
      <c r="X32" s="103">
        <f>'Проверочная  таблица'!GC33+'Проверочная  таблица'!GI33</f>
        <v>0</v>
      </c>
      <c r="Y32" s="101">
        <f>'Проверочная  таблица'!GF33+'Проверочная  таблица'!GL33</f>
        <v>0</v>
      </c>
      <c r="Z32" s="103">
        <f>'Проверочная  таблица'!HA33</f>
        <v>0</v>
      </c>
      <c r="AA32" s="101">
        <f>'Проверочная  таблица'!HD33</f>
        <v>0</v>
      </c>
      <c r="AB32" s="662">
        <f>'Проверочная  таблица'!HI33+'Проверочная  таблица'!IA33</f>
        <v>124094.21</v>
      </c>
      <c r="AC32" s="269">
        <f>'Проверочная  таблица'!IJ33+'Проверочная  таблица'!HR33</f>
        <v>124094.21</v>
      </c>
      <c r="AD32" s="662">
        <f>'Проверочная  таблица'!HK33+'Проверочная  таблица'!IC33</f>
        <v>0</v>
      </c>
      <c r="AE32" s="269">
        <f>'Проверочная  таблица'!IL33+'Проверочная  таблица'!HT33</f>
        <v>0</v>
      </c>
      <c r="AF32" s="103">
        <f>'Проверочная  таблица'!HM33+'Проверочная  таблица'!IE33</f>
        <v>0</v>
      </c>
      <c r="AG32" s="101">
        <f>'Проверочная  таблица'!HV33+'Проверочная  таблица'!IN33</f>
        <v>0</v>
      </c>
      <c r="AH32" s="103">
        <f>'Проверочная  таблица'!HG33+'Проверочная  таблица'!HY33</f>
        <v>0</v>
      </c>
      <c r="AI32" s="101">
        <f>'Проверочная  таблица'!IH33+'Проверочная  таблица'!HP33</f>
        <v>0</v>
      </c>
      <c r="AJ32" s="103">
        <f>'Проверочная  таблица'!KA33</f>
        <v>126551900</v>
      </c>
      <c r="AK32" s="101">
        <f>'Проверочная  таблица'!KF33</f>
        <v>49324789.339999996</v>
      </c>
      <c r="AL32" s="103">
        <f>'Проверочная  таблица'!KC33</f>
        <v>41890500</v>
      </c>
      <c r="AM32" s="101">
        <f>'Проверочная  таблица'!KH33</f>
        <v>6847889.1200000001</v>
      </c>
      <c r="AN32" s="103">
        <f>'Проверочная  таблица'!KL33</f>
        <v>60260100</v>
      </c>
      <c r="AO32" s="101">
        <f>'Проверочная  таблица'!KR33</f>
        <v>27931487.989999998</v>
      </c>
      <c r="AP32" s="103">
        <f>'Проверочная  таблица'!KN33</f>
        <v>91702700</v>
      </c>
      <c r="AQ32" s="101">
        <f>'Проверочная  таблица'!KT33</f>
        <v>0</v>
      </c>
      <c r="AR32" s="103">
        <f>'Проверочная  таблица'!KX33</f>
        <v>0</v>
      </c>
      <c r="AS32" s="101">
        <f>'Проверочная  таблица'!LB33</f>
        <v>0</v>
      </c>
      <c r="AT32" s="103">
        <f>'Проверочная  таблица'!LI33+'Проверочная  таблица'!LW33</f>
        <v>47500000</v>
      </c>
      <c r="AU32" s="101">
        <f>'Проверочная  таблица'!LP33+'Проверочная  таблица'!MB33</f>
        <v>8171645.8299999991</v>
      </c>
      <c r="AV32" s="104">
        <f>'Проверочная  таблица'!LK33+'Проверочная  таблица'!LY33</f>
        <v>190000000</v>
      </c>
      <c r="AW32" s="101">
        <f>'Проверочная  таблица'!LR33+'Проверочная  таблица'!MD33</f>
        <v>55682366.719999999</v>
      </c>
      <c r="AX32" s="103">
        <f>'Проверочная  таблица'!LM33</f>
        <v>0</v>
      </c>
      <c r="AY32" s="101">
        <f>'Проверочная  таблица'!LT33</f>
        <v>0</v>
      </c>
      <c r="AZ32" s="103">
        <f>'Проверочная  таблица'!NE33</f>
        <v>0</v>
      </c>
      <c r="BA32" s="101">
        <f>'Проверочная  таблица'!NH33</f>
        <v>0</v>
      </c>
      <c r="BB32" s="103">
        <f>'Проверочная  таблица'!NW33</f>
        <v>0</v>
      </c>
      <c r="BC32" s="103">
        <f>'Проверочная  таблица'!NZ33</f>
        <v>0</v>
      </c>
      <c r="BD32" s="101">
        <f>'Проверочная  таблица'!OW33+'Проверочная  таблица'!PM33</f>
        <v>0</v>
      </c>
      <c r="BE32" s="100">
        <f>'Проверочная  таблица'!PD33+'Проверочная  таблица'!PV33</f>
        <v>0</v>
      </c>
      <c r="BF32" s="103">
        <f>'Проверочная  таблица'!PI33</f>
        <v>0</v>
      </c>
      <c r="BG32" s="101">
        <f>'Проверочная  таблица'!PR33</f>
        <v>0</v>
      </c>
      <c r="BH32" s="103">
        <f>'Проверочная  таблица'!OU33+'Проверочная  таблица'!PK33</f>
        <v>0</v>
      </c>
      <c r="BI32" s="101">
        <f>'Проверочная  таблица'!PB33+'Проверочная  таблица'!PT33</f>
        <v>0</v>
      </c>
      <c r="BJ32" s="103">
        <f>'Проверочная  таблица'!OY33+'Проверочная  таблица'!PO33</f>
        <v>0</v>
      </c>
      <c r="BK32" s="101">
        <f>'Проверочная  таблица'!PF33+'Проверочная  таблица'!PX33</f>
        <v>0</v>
      </c>
      <c r="BL32" s="103">
        <f>BZ32+BN32+BT32+BP32+BX32+BR32+BV32</f>
        <v>45921238</v>
      </c>
      <c r="BM32" s="101">
        <f>CA32+BO32+BU32+BQ32+BY32+BS32+BW32</f>
        <v>25838479.82</v>
      </c>
      <c r="BN32" s="104">
        <f>'Проверочная  таблица'!SE33</f>
        <v>0</v>
      </c>
      <c r="BO32" s="101">
        <f>'Проверочная  таблица'!SF33</f>
        <v>0</v>
      </c>
      <c r="BP32" s="100">
        <f>'Проверочная  таблица'!SG33</f>
        <v>70000</v>
      </c>
      <c r="BQ32" s="100">
        <f>'Проверочная  таблица'!SH33</f>
        <v>68587.5</v>
      </c>
      <c r="BR32" s="271">
        <f>'Проверочная  таблица'!SI33</f>
        <v>9916908.0000000019</v>
      </c>
      <c r="BS32" s="163">
        <f>'Проверочная  таблица'!SJ33</f>
        <v>3599155.4</v>
      </c>
      <c r="BT32" s="447">
        <f>'Проверочная  таблица'!SK33</f>
        <v>6119620</v>
      </c>
      <c r="BU32" s="163">
        <f>'Проверочная  таблица'!SL33</f>
        <v>1787724</v>
      </c>
      <c r="BV32" s="447">
        <f>'Проверочная  таблица'!SM33</f>
        <v>10401710</v>
      </c>
      <c r="BW32" s="163">
        <f>'Проверочная  таблица'!SN33</f>
        <v>8002752</v>
      </c>
      <c r="BX32" s="163">
        <f>'Проверочная  таблица'!SO33</f>
        <v>0</v>
      </c>
      <c r="BY32" s="163">
        <f>'Проверочная  таблица'!SP33</f>
        <v>0</v>
      </c>
      <c r="BZ32" s="104">
        <f>'Проверочная  таблица'!SS33</f>
        <v>19413000</v>
      </c>
      <c r="CA32" s="101">
        <f>'Проверочная  таблица'!SV33</f>
        <v>12380260.92</v>
      </c>
      <c r="CB32" s="103">
        <f t="shared" si="30"/>
        <v>836053800</v>
      </c>
      <c r="CC32" s="101">
        <f t="shared" si="31"/>
        <v>586780944.65999997</v>
      </c>
      <c r="CD32" s="103">
        <f>'Проверочная  таблица'!TA33</f>
        <v>202648400</v>
      </c>
      <c r="CE32" s="101">
        <f>'Проверочная  таблица'!TJ33</f>
        <v>138881353.33000001</v>
      </c>
      <c r="CF32" s="101">
        <f>'Проверочная  таблица'!TC33</f>
        <v>91595400</v>
      </c>
      <c r="CG32" s="100">
        <f>'Проверочная  таблица'!TL33</f>
        <v>68617677.549999997</v>
      </c>
      <c r="CH32" s="103">
        <f>'Проверочная  таблица'!TE33</f>
        <v>31810000</v>
      </c>
      <c r="CI32" s="101">
        <f>'Проверочная  таблица'!TN33</f>
        <v>8251410.75</v>
      </c>
      <c r="CJ32" s="103">
        <f>'Проверочная  таблица'!TR33+'Проверочная  таблица'!TV33</f>
        <v>0</v>
      </c>
      <c r="CK32" s="101">
        <f>'Проверочная  таблица'!TT33+'Проверочная  таблица'!TX33</f>
        <v>0</v>
      </c>
      <c r="CL32" s="104">
        <f>'Проверочная  таблица'!UD33+'Проверочная  таблица'!UJ33</f>
        <v>0</v>
      </c>
      <c r="CM32" s="101">
        <f>'Проверочная  таблица'!UG33+'Проверочная  таблица'!UM33</f>
        <v>0</v>
      </c>
      <c r="CN32" s="104">
        <f>'Проверочная  таблица'!UE33+'Проверочная  таблица'!UK33</f>
        <v>510000000</v>
      </c>
      <c r="CO32" s="101">
        <f>'Проверочная  таблица'!UH33+'Проверочная  таблица'!UN33</f>
        <v>371030503.02999997</v>
      </c>
      <c r="CP32" s="103">
        <f>'Проверочная  таблица'!UU33</f>
        <v>0</v>
      </c>
      <c r="CQ32" s="101">
        <f>'Проверочная  таблица'!UX33</f>
        <v>0</v>
      </c>
      <c r="CS32" s="1026">
        <f t="shared" si="8"/>
        <v>45921.237999999998</v>
      </c>
      <c r="CT32" s="1026">
        <f t="shared" si="9"/>
        <v>25838.47982</v>
      </c>
    </row>
    <row r="33" spans="1:98" ht="25.5" customHeight="1" thickBot="1" x14ac:dyDescent="0.35">
      <c r="A33" s="153" t="s">
        <v>7</v>
      </c>
      <c r="B33" s="116">
        <f t="shared" ref="B33:E33" si="32">SUM(B31:B32)</f>
        <v>2113979296.73</v>
      </c>
      <c r="C33" s="116">
        <f t="shared" si="32"/>
        <v>891211392.78999996</v>
      </c>
      <c r="D33" s="114">
        <f t="shared" si="32"/>
        <v>1172716544.73</v>
      </c>
      <c r="E33" s="114">
        <f t="shared" si="32"/>
        <v>250213393.66</v>
      </c>
      <c r="F33" s="124">
        <f t="shared" ref="F33:AW33" si="33">SUM(F31:F32)</f>
        <v>261037664.93000001</v>
      </c>
      <c r="G33" s="117">
        <f t="shared" si="33"/>
        <v>78311299.480000004</v>
      </c>
      <c r="H33" s="116">
        <f t="shared" ref="H33:I33" si="34">SUM(H31:H32)</f>
        <v>719971.8</v>
      </c>
      <c r="I33" s="114">
        <f t="shared" si="34"/>
        <v>0</v>
      </c>
      <c r="J33" s="116">
        <f t="shared" si="33"/>
        <v>0</v>
      </c>
      <c r="K33" s="117">
        <f t="shared" si="33"/>
        <v>0</v>
      </c>
      <c r="L33" s="118">
        <f>SUM(L31:L32)</f>
        <v>0</v>
      </c>
      <c r="M33" s="817">
        <f>SUM(M31:M32)</f>
        <v>0</v>
      </c>
      <c r="N33" s="116">
        <f>SUM(N31:N32)</f>
        <v>0</v>
      </c>
      <c r="O33" s="114">
        <f>SUM(O31:O32)</f>
        <v>0</v>
      </c>
      <c r="P33" s="116">
        <f t="shared" ref="P33:Q33" si="35">SUM(P31:P32)</f>
        <v>2721180</v>
      </c>
      <c r="Q33" s="114">
        <f t="shared" si="35"/>
        <v>0</v>
      </c>
      <c r="R33" s="118">
        <f t="shared" ref="R33:S33" si="36">SUM(R31:R32)</f>
        <v>40000000</v>
      </c>
      <c r="S33" s="114">
        <f t="shared" si="36"/>
        <v>14000000</v>
      </c>
      <c r="T33" s="116">
        <f t="shared" ref="T33:U33" si="37">SUM(T31:T32)</f>
        <v>251648074.00999999</v>
      </c>
      <c r="U33" s="117">
        <f t="shared" si="37"/>
        <v>2110659.88</v>
      </c>
      <c r="V33" s="116">
        <f t="shared" si="33"/>
        <v>4379100</v>
      </c>
      <c r="W33" s="114">
        <f t="shared" si="33"/>
        <v>3837218.05</v>
      </c>
      <c r="X33" s="116">
        <f t="shared" si="33"/>
        <v>0</v>
      </c>
      <c r="Y33" s="114">
        <f t="shared" si="33"/>
        <v>0</v>
      </c>
      <c r="Z33" s="116">
        <f t="shared" ref="Z33:AA33" si="38">SUM(Z31:Z32)</f>
        <v>0</v>
      </c>
      <c r="AA33" s="114">
        <f t="shared" si="38"/>
        <v>0</v>
      </c>
      <c r="AB33" s="116">
        <f t="shared" si="33"/>
        <v>150153.99</v>
      </c>
      <c r="AC33" s="117">
        <f t="shared" si="33"/>
        <v>150153.99</v>
      </c>
      <c r="AD33" s="116">
        <f t="shared" si="33"/>
        <v>0</v>
      </c>
      <c r="AE33" s="117">
        <f t="shared" si="33"/>
        <v>0</v>
      </c>
      <c r="AF33" s="116">
        <f t="shared" si="33"/>
        <v>0</v>
      </c>
      <c r="AG33" s="114">
        <f t="shared" si="33"/>
        <v>0</v>
      </c>
      <c r="AH33" s="116">
        <f t="shared" ref="AH33:AI33" si="39">SUM(AH31:AH32)</f>
        <v>0</v>
      </c>
      <c r="AI33" s="114">
        <f t="shared" si="39"/>
        <v>0</v>
      </c>
      <c r="AJ33" s="116">
        <f t="shared" si="33"/>
        <v>126551900</v>
      </c>
      <c r="AK33" s="117">
        <f t="shared" si="33"/>
        <v>49324789.339999996</v>
      </c>
      <c r="AL33" s="118">
        <f t="shared" ref="AL33:AM33" si="40">SUM(AL31:AL32)</f>
        <v>41890500</v>
      </c>
      <c r="AM33" s="117">
        <f t="shared" si="40"/>
        <v>6847889.1200000001</v>
      </c>
      <c r="AN33" s="116">
        <f>SUM(AN31:AN32)</f>
        <v>60260100</v>
      </c>
      <c r="AO33" s="114">
        <f>SUM(AO31:AO32)</f>
        <v>27931487.989999998</v>
      </c>
      <c r="AP33" s="116">
        <f>SUM(AP31:AP32)</f>
        <v>91702700</v>
      </c>
      <c r="AQ33" s="114">
        <f>SUM(AQ31:AQ32)</f>
        <v>0</v>
      </c>
      <c r="AR33" s="116">
        <f t="shared" si="33"/>
        <v>0</v>
      </c>
      <c r="AS33" s="117">
        <f t="shared" si="33"/>
        <v>0</v>
      </c>
      <c r="AT33" s="116">
        <f t="shared" si="33"/>
        <v>71250000</v>
      </c>
      <c r="AU33" s="117">
        <f t="shared" si="33"/>
        <v>11461665.09</v>
      </c>
      <c r="AV33" s="116">
        <f t="shared" si="33"/>
        <v>220400000</v>
      </c>
      <c r="AW33" s="117">
        <f t="shared" si="33"/>
        <v>56238230.719999999</v>
      </c>
      <c r="AX33" s="116">
        <f t="shared" ref="AX33:AY33" si="41">SUM(AX31:AX32)</f>
        <v>5200</v>
      </c>
      <c r="AY33" s="117">
        <f t="shared" si="41"/>
        <v>0</v>
      </c>
      <c r="AZ33" s="116">
        <f t="shared" ref="AZ33:BG33" si="42">SUM(AZ31:AZ32)</f>
        <v>0</v>
      </c>
      <c r="BA33" s="114">
        <f t="shared" si="42"/>
        <v>0</v>
      </c>
      <c r="BB33" s="116">
        <f t="shared" si="42"/>
        <v>0</v>
      </c>
      <c r="BC33" s="116">
        <f t="shared" si="42"/>
        <v>0</v>
      </c>
      <c r="BD33" s="114">
        <f t="shared" si="42"/>
        <v>0</v>
      </c>
      <c r="BE33" s="445">
        <f t="shared" si="42"/>
        <v>0</v>
      </c>
      <c r="BF33" s="116">
        <f t="shared" si="42"/>
        <v>0</v>
      </c>
      <c r="BG33" s="114">
        <f t="shared" si="42"/>
        <v>0</v>
      </c>
      <c r="BH33" s="116">
        <f t="shared" ref="BH33:BI33" si="43">SUM(BH31:BH32)</f>
        <v>0</v>
      </c>
      <c r="BI33" s="114">
        <f t="shared" si="43"/>
        <v>0</v>
      </c>
      <c r="BJ33" s="116">
        <f>SUM(BJ31:BJ32)</f>
        <v>0</v>
      </c>
      <c r="BK33" s="114">
        <f>SUM(BK31:BK32)</f>
        <v>0</v>
      </c>
      <c r="BL33" s="116">
        <f t="shared" ref="BL33:CA33" si="44">SUM(BL31:BL32)</f>
        <v>55208952</v>
      </c>
      <c r="BM33" s="114">
        <f t="shared" si="44"/>
        <v>33717054.469999999</v>
      </c>
      <c r="BN33" s="118">
        <f t="shared" si="44"/>
        <v>0</v>
      </c>
      <c r="BO33" s="117">
        <f t="shared" si="44"/>
        <v>0</v>
      </c>
      <c r="BP33" s="117">
        <f t="shared" si="44"/>
        <v>87000</v>
      </c>
      <c r="BQ33" s="117">
        <f t="shared" si="44"/>
        <v>85587.5</v>
      </c>
      <c r="BR33" s="116">
        <f t="shared" si="44"/>
        <v>13512810.000000002</v>
      </c>
      <c r="BS33" s="117">
        <f t="shared" si="44"/>
        <v>7174603.4000000004</v>
      </c>
      <c r="BT33" s="445">
        <f t="shared" si="44"/>
        <v>6731582</v>
      </c>
      <c r="BU33" s="117">
        <f t="shared" si="44"/>
        <v>2383632</v>
      </c>
      <c r="BV33" s="445">
        <f>SUM(BV31:BV32)</f>
        <v>11625440</v>
      </c>
      <c r="BW33" s="117">
        <f>SUM(BW31:BW32)</f>
        <v>9194568</v>
      </c>
      <c r="BX33" s="114">
        <f t="shared" si="44"/>
        <v>0</v>
      </c>
      <c r="BY33" s="117">
        <f t="shared" si="44"/>
        <v>0</v>
      </c>
      <c r="BZ33" s="118">
        <f t="shared" si="44"/>
        <v>23252120</v>
      </c>
      <c r="CA33" s="114">
        <f t="shared" si="44"/>
        <v>14878663.57</v>
      </c>
      <c r="CB33" s="116">
        <f t="shared" ref="CB33:CM33" si="45">SUM(CB31:CB32)</f>
        <v>886053800</v>
      </c>
      <c r="CC33" s="114">
        <f t="shared" si="45"/>
        <v>607280944.65999997</v>
      </c>
      <c r="CD33" s="116">
        <f t="shared" ref="CD33:CE33" si="46">SUM(CD31:CD32)</f>
        <v>202648400</v>
      </c>
      <c r="CE33" s="114">
        <f t="shared" si="46"/>
        <v>138881353.33000001</v>
      </c>
      <c r="CF33" s="116">
        <f t="shared" ref="CF33:CG33" si="47">SUM(CF31:CF32)</f>
        <v>91595400</v>
      </c>
      <c r="CG33" s="114">
        <f t="shared" si="47"/>
        <v>68617677.549999997</v>
      </c>
      <c r="CH33" s="116">
        <f t="shared" ref="CH33:CI33" si="48">SUM(CH31:CH32)</f>
        <v>31810000</v>
      </c>
      <c r="CI33" s="114">
        <f t="shared" si="48"/>
        <v>8251410.75</v>
      </c>
      <c r="CJ33" s="116">
        <f t="shared" ref="CJ33:CK33" si="49">SUM(CJ31:CJ32)</f>
        <v>0</v>
      </c>
      <c r="CK33" s="117">
        <f t="shared" si="49"/>
        <v>0</v>
      </c>
      <c r="CL33" s="118">
        <f t="shared" si="45"/>
        <v>0</v>
      </c>
      <c r="CM33" s="117">
        <f t="shared" si="45"/>
        <v>0</v>
      </c>
      <c r="CN33" s="116">
        <f t="shared" ref="CN33:CQ33" si="50">SUM(CN31:CN32)</f>
        <v>560000000</v>
      </c>
      <c r="CO33" s="117">
        <f t="shared" si="50"/>
        <v>391530503.02999997</v>
      </c>
      <c r="CP33" s="116">
        <f t="shared" si="50"/>
        <v>0</v>
      </c>
      <c r="CQ33" s="114">
        <f t="shared" si="50"/>
        <v>0</v>
      </c>
      <c r="CS33" s="1026">
        <f t="shared" si="8"/>
        <v>55208.951999999997</v>
      </c>
      <c r="CT33" s="1026">
        <f t="shared" si="9"/>
        <v>33717.054469999995</v>
      </c>
    </row>
    <row r="34" spans="1:98" ht="25.5" customHeight="1" x14ac:dyDescent="0.3">
      <c r="A34" s="96"/>
      <c r="B34" s="151"/>
      <c r="C34" s="151"/>
      <c r="D34" s="125"/>
      <c r="E34" s="125"/>
      <c r="F34" s="130"/>
      <c r="G34" s="125"/>
      <c r="H34" s="199"/>
      <c r="I34" s="126"/>
      <c r="J34" s="199"/>
      <c r="K34" s="126"/>
      <c r="L34" s="129"/>
      <c r="M34" s="819"/>
      <c r="N34" s="199"/>
      <c r="O34" s="126"/>
      <c r="P34" s="199"/>
      <c r="Q34" s="126"/>
      <c r="R34" s="129"/>
      <c r="S34" s="126"/>
      <c r="T34" s="199"/>
      <c r="U34" s="126"/>
      <c r="V34" s="199"/>
      <c r="W34" s="126"/>
      <c r="X34" s="199"/>
      <c r="Y34" s="126"/>
      <c r="Z34" s="199"/>
      <c r="AA34" s="126"/>
      <c r="AB34" s="199"/>
      <c r="AC34" s="126"/>
      <c r="AD34" s="199"/>
      <c r="AE34" s="126"/>
      <c r="AF34" s="199"/>
      <c r="AG34" s="126"/>
      <c r="AH34" s="199"/>
      <c r="AI34" s="126"/>
      <c r="AJ34" s="199"/>
      <c r="AK34" s="126"/>
      <c r="AL34" s="129"/>
      <c r="AM34" s="126"/>
      <c r="AN34" s="199"/>
      <c r="AO34" s="126"/>
      <c r="AP34" s="199"/>
      <c r="AQ34" s="126"/>
      <c r="AR34" s="199"/>
      <c r="AS34" s="126"/>
      <c r="AT34" s="199"/>
      <c r="AU34" s="126"/>
      <c r="AV34" s="199"/>
      <c r="AW34" s="126"/>
      <c r="AX34" s="199"/>
      <c r="AY34" s="126"/>
      <c r="AZ34" s="199"/>
      <c r="BA34" s="126"/>
      <c r="BB34" s="199"/>
      <c r="BC34" s="126"/>
      <c r="BD34" s="128"/>
      <c r="BE34" s="814"/>
      <c r="BF34" s="199"/>
      <c r="BG34" s="126"/>
      <c r="BH34" s="199"/>
      <c r="BI34" s="126"/>
      <c r="BJ34" s="199"/>
      <c r="BK34" s="126"/>
      <c r="BL34" s="254"/>
      <c r="BM34" s="155"/>
      <c r="BN34" s="129"/>
      <c r="BO34" s="126"/>
      <c r="BP34" s="125"/>
      <c r="BQ34" s="125"/>
      <c r="BR34" s="202"/>
      <c r="BS34" s="125"/>
      <c r="BT34" s="130"/>
      <c r="BU34" s="125"/>
      <c r="BV34" s="130"/>
      <c r="BW34" s="125"/>
      <c r="BX34" s="202"/>
      <c r="BY34" s="125"/>
      <c r="BZ34" s="127"/>
      <c r="CA34" s="128"/>
      <c r="CB34" s="254"/>
      <c r="CC34" s="155"/>
      <c r="CD34" s="199"/>
      <c r="CE34" s="126"/>
      <c r="CF34" s="199"/>
      <c r="CG34" s="126"/>
      <c r="CH34" s="199"/>
      <c r="CI34" s="126"/>
      <c r="CJ34" s="199"/>
      <c r="CK34" s="126"/>
      <c r="CL34" s="129"/>
      <c r="CM34" s="126"/>
      <c r="CN34" s="199"/>
      <c r="CO34" s="126"/>
      <c r="CP34" s="199"/>
      <c r="CQ34" s="126"/>
      <c r="CS34" s="1026">
        <f t="shared" si="8"/>
        <v>0</v>
      </c>
      <c r="CT34" s="1026">
        <f t="shared" si="9"/>
        <v>0</v>
      </c>
    </row>
    <row r="35" spans="1:98" ht="25.5" customHeight="1" thickBot="1" x14ac:dyDescent="0.35">
      <c r="A35" s="106"/>
      <c r="B35" s="156"/>
      <c r="C35" s="156"/>
      <c r="D35" s="131"/>
      <c r="E35" s="131"/>
      <c r="F35" s="134"/>
      <c r="G35" s="131"/>
      <c r="H35" s="200"/>
      <c r="I35" s="132"/>
      <c r="J35" s="200"/>
      <c r="K35" s="132"/>
      <c r="L35" s="133"/>
      <c r="M35" s="200"/>
      <c r="N35" s="200"/>
      <c r="O35" s="132"/>
      <c r="P35" s="200"/>
      <c r="Q35" s="132"/>
      <c r="R35" s="133"/>
      <c r="S35" s="132"/>
      <c r="T35" s="200"/>
      <c r="U35" s="132"/>
      <c r="V35" s="200"/>
      <c r="W35" s="132"/>
      <c r="X35" s="200"/>
      <c r="Y35" s="132"/>
      <c r="Z35" s="200"/>
      <c r="AA35" s="132"/>
      <c r="AB35" s="200"/>
      <c r="AC35" s="132"/>
      <c r="AD35" s="200"/>
      <c r="AE35" s="132"/>
      <c r="AF35" s="200"/>
      <c r="AG35" s="132"/>
      <c r="AH35" s="200"/>
      <c r="AI35" s="132"/>
      <c r="AJ35" s="200"/>
      <c r="AK35" s="132"/>
      <c r="AL35" s="133"/>
      <c r="AM35" s="132"/>
      <c r="AN35" s="200"/>
      <c r="AO35" s="132"/>
      <c r="AP35" s="200"/>
      <c r="AQ35" s="132"/>
      <c r="AR35" s="200"/>
      <c r="AS35" s="132"/>
      <c r="AT35" s="200"/>
      <c r="AU35" s="132"/>
      <c r="AV35" s="200"/>
      <c r="AW35" s="132"/>
      <c r="AX35" s="200"/>
      <c r="AY35" s="132"/>
      <c r="AZ35" s="200"/>
      <c r="BA35" s="132"/>
      <c r="BB35" s="200"/>
      <c r="BC35" s="132"/>
      <c r="BD35" s="132"/>
      <c r="BE35" s="815"/>
      <c r="BF35" s="200"/>
      <c r="BG35" s="132"/>
      <c r="BH35" s="200"/>
      <c r="BI35" s="132"/>
      <c r="BJ35" s="200"/>
      <c r="BK35" s="132"/>
      <c r="BL35" s="203"/>
      <c r="BM35" s="131"/>
      <c r="BN35" s="133"/>
      <c r="BO35" s="132"/>
      <c r="BP35" s="131"/>
      <c r="BQ35" s="131"/>
      <c r="BR35" s="203"/>
      <c r="BS35" s="131"/>
      <c r="BT35" s="134"/>
      <c r="BU35" s="131"/>
      <c r="BV35" s="134"/>
      <c r="BW35" s="131"/>
      <c r="BX35" s="203"/>
      <c r="BY35" s="131"/>
      <c r="BZ35" s="133"/>
      <c r="CA35" s="132"/>
      <c r="CB35" s="203"/>
      <c r="CC35" s="131"/>
      <c r="CD35" s="200"/>
      <c r="CE35" s="132"/>
      <c r="CF35" s="200"/>
      <c r="CG35" s="132"/>
      <c r="CH35" s="200"/>
      <c r="CI35" s="132"/>
      <c r="CJ35" s="200"/>
      <c r="CK35" s="132"/>
      <c r="CL35" s="133"/>
      <c r="CM35" s="132"/>
      <c r="CN35" s="200"/>
      <c r="CO35" s="132"/>
      <c r="CP35" s="200"/>
      <c r="CQ35" s="132"/>
      <c r="CS35" s="1026">
        <f t="shared" si="8"/>
        <v>0</v>
      </c>
      <c r="CT35" s="1026">
        <f t="shared" si="9"/>
        <v>0</v>
      </c>
    </row>
    <row r="36" spans="1:98" ht="25.5" customHeight="1" thickBot="1" x14ac:dyDescent="0.35">
      <c r="A36" s="153" t="s">
        <v>43</v>
      </c>
      <c r="B36" s="137">
        <f t="shared" ref="B36:E36" si="51">B29+B33</f>
        <v>2992356355.0100002</v>
      </c>
      <c r="C36" s="137">
        <f t="shared" si="51"/>
        <v>1404578885.4200001</v>
      </c>
      <c r="D36" s="110">
        <f t="shared" si="51"/>
        <v>1731528224.01</v>
      </c>
      <c r="E36" s="110">
        <f t="shared" si="51"/>
        <v>532795620.71999991</v>
      </c>
      <c r="F36" s="136">
        <f t="shared" ref="F36:AE36" si="52">F29+F33</f>
        <v>326102873.09000003</v>
      </c>
      <c r="G36" s="135">
        <f t="shared" si="52"/>
        <v>115229040.47</v>
      </c>
      <c r="H36" s="137">
        <f t="shared" ref="H36:I36" si="53">H29+H33</f>
        <v>719971.8</v>
      </c>
      <c r="I36" s="138">
        <f t="shared" si="53"/>
        <v>0</v>
      </c>
      <c r="J36" s="137">
        <f t="shared" si="52"/>
        <v>1842356.4</v>
      </c>
      <c r="K36" s="138">
        <f t="shared" si="52"/>
        <v>0</v>
      </c>
      <c r="L36" s="139">
        <f>L29+L33</f>
        <v>6020700</v>
      </c>
      <c r="M36" s="137">
        <f>M29+M33</f>
        <v>0</v>
      </c>
      <c r="N36" s="137">
        <f>N29+N33</f>
        <v>0</v>
      </c>
      <c r="O36" s="138">
        <f>O29+O33</f>
        <v>0</v>
      </c>
      <c r="P36" s="137">
        <f t="shared" ref="P36:Q36" si="54">P29+P33</f>
        <v>21769500</v>
      </c>
      <c r="Q36" s="138">
        <f t="shared" si="54"/>
        <v>2721180</v>
      </c>
      <c r="R36" s="139">
        <f t="shared" ref="R36:S36" si="55">R29+R33</f>
        <v>40000000</v>
      </c>
      <c r="S36" s="138">
        <f t="shared" si="55"/>
        <v>14000000</v>
      </c>
      <c r="T36" s="137">
        <f t="shared" ref="T36:U36" si="56">T29+T33</f>
        <v>361579600</v>
      </c>
      <c r="U36" s="138">
        <f t="shared" si="56"/>
        <v>30226436.699999999</v>
      </c>
      <c r="V36" s="137">
        <f t="shared" ref="V36:AA36" si="57">V29+V33</f>
        <v>4379100</v>
      </c>
      <c r="W36" s="138">
        <f t="shared" si="57"/>
        <v>3837218.05</v>
      </c>
      <c r="X36" s="137">
        <f t="shared" si="57"/>
        <v>18848700.039999999</v>
      </c>
      <c r="Y36" s="138">
        <f t="shared" si="57"/>
        <v>17937970.479999997</v>
      </c>
      <c r="Z36" s="137">
        <f t="shared" si="57"/>
        <v>0</v>
      </c>
      <c r="AA36" s="138">
        <f t="shared" si="57"/>
        <v>0</v>
      </c>
      <c r="AB36" s="137">
        <f t="shared" si="52"/>
        <v>342499.99</v>
      </c>
      <c r="AC36" s="138">
        <f t="shared" si="52"/>
        <v>342499.99</v>
      </c>
      <c r="AD36" s="137">
        <f t="shared" si="52"/>
        <v>240900</v>
      </c>
      <c r="AE36" s="138">
        <f t="shared" si="52"/>
        <v>240900</v>
      </c>
      <c r="AF36" s="137">
        <f>AF29+AF33</f>
        <v>0</v>
      </c>
      <c r="AG36" s="138">
        <f>AG29+AG33</f>
        <v>0</v>
      </c>
      <c r="AH36" s="137">
        <f>AH29+AH33</f>
        <v>44458800</v>
      </c>
      <c r="AI36" s="138">
        <f>AI29+AI33</f>
        <v>8044658.96</v>
      </c>
      <c r="AJ36" s="137">
        <f t="shared" ref="AJ36:AW36" si="58">AJ29+AJ33</f>
        <v>282905000</v>
      </c>
      <c r="AK36" s="138">
        <f t="shared" si="58"/>
        <v>162487203.78999999</v>
      </c>
      <c r="AL36" s="139">
        <f t="shared" ref="AL36:AO36" si="59">AL29+AL33</f>
        <v>41890500</v>
      </c>
      <c r="AM36" s="138">
        <f t="shared" si="59"/>
        <v>6847889.1200000001</v>
      </c>
      <c r="AN36" s="137">
        <f t="shared" si="59"/>
        <v>60260100</v>
      </c>
      <c r="AO36" s="138">
        <f t="shared" si="59"/>
        <v>27931487.989999998</v>
      </c>
      <c r="AP36" s="137">
        <f>AP29+AP33</f>
        <v>91702700</v>
      </c>
      <c r="AQ36" s="138">
        <f>AQ29+AQ33</f>
        <v>0</v>
      </c>
      <c r="AR36" s="137">
        <f>AR29+AR33</f>
        <v>0</v>
      </c>
      <c r="AS36" s="138">
        <f>AS29+AS33</f>
        <v>0</v>
      </c>
      <c r="AT36" s="137">
        <f t="shared" si="58"/>
        <v>103546300</v>
      </c>
      <c r="AU36" s="138">
        <f t="shared" si="58"/>
        <v>27880830.740000002</v>
      </c>
      <c r="AV36" s="137">
        <f t="shared" si="58"/>
        <v>243200000</v>
      </c>
      <c r="AW36" s="138">
        <f t="shared" si="58"/>
        <v>71362238.319999993</v>
      </c>
      <c r="AX36" s="137">
        <f t="shared" ref="AX36:AY36" si="60">AX29+AX33</f>
        <v>5200</v>
      </c>
      <c r="AY36" s="138">
        <f t="shared" si="60"/>
        <v>0</v>
      </c>
      <c r="AZ36" s="137">
        <f t="shared" ref="AZ36:BG36" si="61">AZ29+AZ33</f>
        <v>1688800</v>
      </c>
      <c r="BA36" s="138">
        <f t="shared" si="61"/>
        <v>1396786.19</v>
      </c>
      <c r="BB36" s="137">
        <f t="shared" si="61"/>
        <v>0</v>
      </c>
      <c r="BC36" s="138">
        <f t="shared" si="61"/>
        <v>0</v>
      </c>
      <c r="BD36" s="138">
        <f t="shared" si="61"/>
        <v>1466000</v>
      </c>
      <c r="BE36" s="816">
        <f t="shared" si="61"/>
        <v>0</v>
      </c>
      <c r="BF36" s="137">
        <f t="shared" si="61"/>
        <v>29278500</v>
      </c>
      <c r="BG36" s="138">
        <f t="shared" si="61"/>
        <v>24268288.16</v>
      </c>
      <c r="BH36" s="137">
        <f t="shared" ref="BH36:BI36" si="62">BH29+BH33</f>
        <v>7879434.7299999995</v>
      </c>
      <c r="BI36" s="138">
        <f t="shared" si="62"/>
        <v>3216230.96</v>
      </c>
      <c r="BJ36" s="137">
        <f>BJ29+BJ33</f>
        <v>41400687.959999993</v>
      </c>
      <c r="BK36" s="138">
        <f>BK29+BK33</f>
        <v>14824760.800000001</v>
      </c>
      <c r="BL36" s="201">
        <f t="shared" ref="BL36:CA36" si="63">BL29+BL33</f>
        <v>164774331</v>
      </c>
      <c r="BM36" s="135">
        <f t="shared" si="63"/>
        <v>103740713.28</v>
      </c>
      <c r="BN36" s="139">
        <f t="shared" si="63"/>
        <v>27501500</v>
      </c>
      <c r="BO36" s="138">
        <f t="shared" si="63"/>
        <v>17901519.810000002</v>
      </c>
      <c r="BP36" s="135">
        <f t="shared" si="63"/>
        <v>139200</v>
      </c>
      <c r="BQ36" s="135">
        <f t="shared" si="63"/>
        <v>111972</v>
      </c>
      <c r="BR36" s="201">
        <f t="shared" si="63"/>
        <v>50430000</v>
      </c>
      <c r="BS36" s="135">
        <f t="shared" si="63"/>
        <v>25219747.399999999</v>
      </c>
      <c r="BT36" s="136">
        <f t="shared" si="63"/>
        <v>7955500</v>
      </c>
      <c r="BU36" s="135">
        <f t="shared" si="63"/>
        <v>3575448</v>
      </c>
      <c r="BV36" s="136">
        <f>BV29+BV33</f>
        <v>14072900</v>
      </c>
      <c r="BW36" s="135">
        <f>BW29+BW33</f>
        <v>11578200</v>
      </c>
      <c r="BX36" s="201">
        <f t="shared" si="63"/>
        <v>0</v>
      </c>
      <c r="BY36" s="135">
        <f t="shared" si="63"/>
        <v>0</v>
      </c>
      <c r="BZ36" s="136">
        <f t="shared" si="63"/>
        <v>64675231</v>
      </c>
      <c r="CA36" s="135">
        <f t="shared" si="63"/>
        <v>45353826.07</v>
      </c>
      <c r="CB36" s="201">
        <f t="shared" ref="CB36:CM36" si="64">CB29+CB33</f>
        <v>1096053800</v>
      </c>
      <c r="CC36" s="135">
        <f t="shared" si="64"/>
        <v>768042551.41999996</v>
      </c>
      <c r="CD36" s="137">
        <f t="shared" ref="CD36:CE36" si="65">CD29+CD33</f>
        <v>202648400</v>
      </c>
      <c r="CE36" s="138">
        <f t="shared" si="65"/>
        <v>138881353.33000001</v>
      </c>
      <c r="CF36" s="137">
        <f t="shared" ref="CF36:CK36" si="66">CF29+CF33</f>
        <v>91595400</v>
      </c>
      <c r="CG36" s="138">
        <f t="shared" si="66"/>
        <v>68617677.549999997</v>
      </c>
      <c r="CH36" s="137">
        <f t="shared" ref="CH36:CI36" si="67">CH29+CH33</f>
        <v>31810000</v>
      </c>
      <c r="CI36" s="138">
        <f t="shared" si="67"/>
        <v>8251410.75</v>
      </c>
      <c r="CJ36" s="137">
        <f t="shared" si="66"/>
        <v>190000000</v>
      </c>
      <c r="CK36" s="138">
        <f t="shared" si="66"/>
        <v>140761606.75999999</v>
      </c>
      <c r="CL36" s="139">
        <f t="shared" si="64"/>
        <v>0</v>
      </c>
      <c r="CM36" s="138">
        <f t="shared" si="64"/>
        <v>0</v>
      </c>
      <c r="CN36" s="137">
        <f t="shared" ref="CN36:CQ36" si="68">CN29+CN33</f>
        <v>580000000</v>
      </c>
      <c r="CO36" s="138">
        <f t="shared" si="68"/>
        <v>411530503.02999997</v>
      </c>
      <c r="CP36" s="137">
        <f t="shared" si="68"/>
        <v>0</v>
      </c>
      <c r="CQ36" s="138">
        <f t="shared" si="68"/>
        <v>0</v>
      </c>
      <c r="CS36" s="1026">
        <f t="shared" si="8"/>
        <v>137272.83100000001</v>
      </c>
      <c r="CT36" s="1026">
        <f t="shared" si="9"/>
        <v>85839.193469999998</v>
      </c>
    </row>
    <row r="37" spans="1:98" s="157" customFormat="1" ht="16.8" x14ac:dyDescent="0.3">
      <c r="A37" s="87"/>
      <c r="B37" s="152">
        <f>B36/1000-'Федеральные  средства'!B61</f>
        <v>0</v>
      </c>
      <c r="C37" s="152">
        <f>C36/1000-'Федеральные  средства'!C61</f>
        <v>0</v>
      </c>
      <c r="D37" s="152">
        <f>D36/1000-'Федеральные  средства'!B38</f>
        <v>0</v>
      </c>
      <c r="E37" s="152">
        <f>E36/1000-'Федеральные  средства'!C38</f>
        <v>0</v>
      </c>
      <c r="F37" s="140"/>
      <c r="G37" s="140"/>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52">
        <f>BL36/1000-'Федеральные  средства'!B47</f>
        <v>0</v>
      </c>
      <c r="BM37" s="152">
        <f>BM36/1000-'Федеральные  средства'!C47</f>
        <v>0</v>
      </c>
      <c r="BN37" s="87"/>
      <c r="BO37" s="152"/>
      <c r="BP37" s="141"/>
      <c r="BQ37" s="141"/>
      <c r="BR37" s="152"/>
      <c r="BS37" s="152"/>
      <c r="BT37" s="152"/>
      <c r="BU37" s="152"/>
      <c r="BV37" s="152"/>
      <c r="BW37" s="152"/>
      <c r="BX37" s="152"/>
      <c r="BY37" s="152"/>
      <c r="BZ37" s="87"/>
      <c r="CA37" s="87"/>
      <c r="CB37" s="152">
        <f>CB36/1000-'Федеральные  средства'!B58</f>
        <v>0</v>
      </c>
      <c r="CC37" s="152">
        <f>CC36/1000-'Федеральные  средства'!C58</f>
        <v>0</v>
      </c>
      <c r="CD37" s="87"/>
      <c r="CE37" s="152"/>
      <c r="CF37" s="87"/>
      <c r="CG37" s="152"/>
      <c r="CH37" s="87"/>
      <c r="CI37" s="152"/>
      <c r="CJ37" s="87"/>
      <c r="CK37" s="152"/>
      <c r="CL37" s="87"/>
      <c r="CM37" s="152"/>
      <c r="CN37" s="87"/>
      <c r="CO37" s="152"/>
      <c r="CP37" s="87"/>
      <c r="CQ37" s="152"/>
    </row>
    <row r="38" spans="1:98" s="160" customFormat="1" ht="36" customHeight="1" x14ac:dyDescent="0.25">
      <c r="A38" s="158"/>
      <c r="B38" s="1173" t="s">
        <v>617</v>
      </c>
      <c r="C38" s="1170"/>
      <c r="D38" s="159"/>
      <c r="E38" s="159"/>
      <c r="F38" s="1689" t="s">
        <v>740</v>
      </c>
      <c r="G38" s="1690"/>
      <c r="H38" s="1689" t="s">
        <v>678</v>
      </c>
      <c r="I38" s="1690"/>
      <c r="J38" s="1689" t="s">
        <v>679</v>
      </c>
      <c r="K38" s="1690"/>
      <c r="L38" s="1689" t="s">
        <v>680</v>
      </c>
      <c r="M38" s="1690"/>
      <c r="N38" s="1689" t="s">
        <v>853</v>
      </c>
      <c r="O38" s="1690"/>
      <c r="P38" s="1689" t="s">
        <v>681</v>
      </c>
      <c r="Q38" s="1690"/>
      <c r="R38" s="1689" t="s">
        <v>682</v>
      </c>
      <c r="S38" s="1690"/>
      <c r="T38" s="1689" t="s">
        <v>683</v>
      </c>
      <c r="U38" s="1690"/>
      <c r="V38" s="1689" t="s">
        <v>684</v>
      </c>
      <c r="W38" s="1690"/>
      <c r="X38" s="1689" t="s">
        <v>685</v>
      </c>
      <c r="Y38" s="1690"/>
      <c r="Z38" s="1689" t="s">
        <v>822</v>
      </c>
      <c r="AA38" s="1690"/>
      <c r="AB38" s="1689" t="s">
        <v>686</v>
      </c>
      <c r="AC38" s="1690"/>
      <c r="AD38" s="1689" t="s">
        <v>687</v>
      </c>
      <c r="AE38" s="1690"/>
      <c r="AF38" s="1689" t="s">
        <v>688</v>
      </c>
      <c r="AG38" s="1690"/>
      <c r="AH38" s="1689" t="s">
        <v>689</v>
      </c>
      <c r="AI38" s="1690"/>
      <c r="AJ38" s="1689" t="s">
        <v>690</v>
      </c>
      <c r="AK38" s="1690"/>
      <c r="AL38" s="1689" t="s">
        <v>726</v>
      </c>
      <c r="AM38" s="1690"/>
      <c r="AN38" s="1689" t="s">
        <v>752</v>
      </c>
      <c r="AO38" s="1690"/>
      <c r="AP38" s="1689" t="s">
        <v>691</v>
      </c>
      <c r="AQ38" s="1690"/>
      <c r="AR38" s="1689" t="s">
        <v>692</v>
      </c>
      <c r="AS38" s="1690"/>
      <c r="AT38" s="1689" t="s">
        <v>693</v>
      </c>
      <c r="AU38" s="1690"/>
      <c r="AV38" s="1689" t="s">
        <v>694</v>
      </c>
      <c r="AW38" s="1690"/>
      <c r="AX38" s="1689" t="s">
        <v>773</v>
      </c>
      <c r="AY38" s="1690"/>
      <c r="AZ38" s="1689" t="s">
        <v>695</v>
      </c>
      <c r="BA38" s="1690"/>
      <c r="BB38" s="1689" t="s">
        <v>673</v>
      </c>
      <c r="BC38" s="1690"/>
      <c r="BD38" s="1689" t="s">
        <v>796</v>
      </c>
      <c r="BE38" s="1690"/>
      <c r="BF38" s="1689" t="s">
        <v>674</v>
      </c>
      <c r="BG38" s="1690"/>
      <c r="BH38" s="1689" t="s">
        <v>675</v>
      </c>
      <c r="BI38" s="1690"/>
      <c r="BJ38" s="1689" t="s">
        <v>676</v>
      </c>
      <c r="BK38" s="1690"/>
      <c r="BL38" s="256"/>
      <c r="BM38" s="257"/>
      <c r="BN38" s="1689" t="s">
        <v>193</v>
      </c>
      <c r="BO38" s="1690"/>
      <c r="BP38" s="1689" t="s">
        <v>194</v>
      </c>
      <c r="BQ38" s="1690"/>
      <c r="BR38" s="1531" t="s">
        <v>237</v>
      </c>
      <c r="BS38" s="1533"/>
      <c r="BT38" s="1531" t="s">
        <v>192</v>
      </c>
      <c r="BU38" s="1533"/>
      <c r="BV38" s="1531" t="s">
        <v>357</v>
      </c>
      <c r="BW38" s="1533"/>
      <c r="BX38" s="1531" t="s">
        <v>235</v>
      </c>
      <c r="BY38" s="1533"/>
      <c r="BZ38" s="1719" t="s">
        <v>195</v>
      </c>
      <c r="CA38" s="1720"/>
      <c r="CB38" s="256"/>
      <c r="CC38" s="257"/>
      <c r="CD38" s="1719" t="s">
        <v>540</v>
      </c>
      <c r="CE38" s="1720"/>
      <c r="CF38" s="1719" t="s">
        <v>720</v>
      </c>
      <c r="CG38" s="1720"/>
      <c r="CH38" s="1719" t="s">
        <v>815</v>
      </c>
      <c r="CI38" s="1720"/>
      <c r="CJ38" s="1719" t="s">
        <v>747</v>
      </c>
      <c r="CK38" s="1720"/>
      <c r="CL38" s="1719" t="s">
        <v>531</v>
      </c>
      <c r="CM38" s="1720"/>
      <c r="CN38" s="1719" t="s">
        <v>532</v>
      </c>
      <c r="CO38" s="1720"/>
      <c r="CP38" s="1719" t="s">
        <v>537</v>
      </c>
      <c r="CQ38" s="1720"/>
    </row>
    <row r="39" spans="1:98" s="1027" customFormat="1" ht="24.6" x14ac:dyDescent="0.4">
      <c r="B39" s="1171"/>
      <c r="C39" s="1172">
        <f>C38-C36</f>
        <v>-1404578885.4200001</v>
      </c>
      <c r="V39" s="1027" t="s">
        <v>145</v>
      </c>
      <c r="X39" s="1027" t="s">
        <v>738</v>
      </c>
      <c r="Z39" s="1482"/>
      <c r="AB39" s="1027" t="s">
        <v>384</v>
      </c>
      <c r="AD39" s="1027" t="s">
        <v>738</v>
      </c>
      <c r="AH39" s="1027" t="s">
        <v>49</v>
      </c>
      <c r="AJ39" s="1027" t="s">
        <v>145</v>
      </c>
      <c r="AL39" s="1027" t="s">
        <v>145</v>
      </c>
      <c r="BJ39" s="1027" t="s">
        <v>145</v>
      </c>
    </row>
  </sheetData>
  <mergeCells count="112">
    <mergeCell ref="AX9:AY9"/>
    <mergeCell ref="AX38:AY38"/>
    <mergeCell ref="BD8:BI8"/>
    <mergeCell ref="CJ8:CK8"/>
    <mergeCell ref="CP38:CQ38"/>
    <mergeCell ref="CS10:CT10"/>
    <mergeCell ref="AP9:AQ9"/>
    <mergeCell ref="AT38:AU38"/>
    <mergeCell ref="BR38:BS38"/>
    <mergeCell ref="AR38:AS38"/>
    <mergeCell ref="AP38:AQ38"/>
    <mergeCell ref="AT9:AU9"/>
    <mergeCell ref="BV38:BW38"/>
    <mergeCell ref="BP38:BQ38"/>
    <mergeCell ref="BT38:BU38"/>
    <mergeCell ref="CL38:CM38"/>
    <mergeCell ref="BZ38:CA38"/>
    <mergeCell ref="CB8:CB10"/>
    <mergeCell ref="CJ9:CK9"/>
    <mergeCell ref="BV8:BW9"/>
    <mergeCell ref="BF9:BG9"/>
    <mergeCell ref="BJ9:BK9"/>
    <mergeCell ref="BH9:BI9"/>
    <mergeCell ref="AT8:AW8"/>
    <mergeCell ref="BB8:BC8"/>
    <mergeCell ref="CN38:CO38"/>
    <mergeCell ref="CL9:CM9"/>
    <mergeCell ref="CN9:CO9"/>
    <mergeCell ref="BX8:BY9"/>
    <mergeCell ref="CC8:CC10"/>
    <mergeCell ref="BZ8:CA9"/>
    <mergeCell ref="CD38:CE38"/>
    <mergeCell ref="BX38:BY38"/>
    <mergeCell ref="CF38:CG38"/>
    <mergeCell ref="CD9:CE9"/>
    <mergeCell ref="CF9:CG9"/>
    <mergeCell ref="CJ38:CK38"/>
    <mergeCell ref="CL8:CO8"/>
    <mergeCell ref="CD8:CI8"/>
    <mergeCell ref="CH9:CI9"/>
    <mergeCell ref="CH38:CI38"/>
    <mergeCell ref="A6:A10"/>
    <mergeCell ref="D8:D10"/>
    <mergeCell ref="E8:E10"/>
    <mergeCell ref="B6:C9"/>
    <mergeCell ref="BD9:BE9"/>
    <mergeCell ref="D6:CQ6"/>
    <mergeCell ref="CB7:CQ7"/>
    <mergeCell ref="CP8:CQ9"/>
    <mergeCell ref="BB9:BC9"/>
    <mergeCell ref="V8:W9"/>
    <mergeCell ref="BN8:BO9"/>
    <mergeCell ref="BM8:BM10"/>
    <mergeCell ref="AD9:AE9"/>
    <mergeCell ref="X8:Y9"/>
    <mergeCell ref="AJ8:AM8"/>
    <mergeCell ref="BT8:BU9"/>
    <mergeCell ref="D7:K7"/>
    <mergeCell ref="H8:K8"/>
    <mergeCell ref="F8:G9"/>
    <mergeCell ref="P8:S8"/>
    <mergeCell ref="P9:Q9"/>
    <mergeCell ref="R9:S9"/>
    <mergeCell ref="AH9:AI9"/>
    <mergeCell ref="AF9:AG9"/>
    <mergeCell ref="F38:G38"/>
    <mergeCell ref="J38:K38"/>
    <mergeCell ref="AH38:AI38"/>
    <mergeCell ref="AF38:AG38"/>
    <mergeCell ref="T8:U9"/>
    <mergeCell ref="T38:U38"/>
    <mergeCell ref="AB9:AC9"/>
    <mergeCell ref="AD38:AE38"/>
    <mergeCell ref="AB8:AC8"/>
    <mergeCell ref="J9:K9"/>
    <mergeCell ref="H38:I38"/>
    <mergeCell ref="R38:S38"/>
    <mergeCell ref="P38:Q38"/>
    <mergeCell ref="X38:Y38"/>
    <mergeCell ref="V38:W38"/>
    <mergeCell ref="L38:M38"/>
    <mergeCell ref="H9:I9"/>
    <mergeCell ref="L8:M9"/>
    <mergeCell ref="Z38:AA38"/>
    <mergeCell ref="Z8:AA8"/>
    <mergeCell ref="Z9:AA9"/>
    <mergeCell ref="N8:O9"/>
    <mergeCell ref="N38:O38"/>
    <mergeCell ref="AN8:AS8"/>
    <mergeCell ref="AN9:AO9"/>
    <mergeCell ref="AN38:AO38"/>
    <mergeCell ref="BN7:CA7"/>
    <mergeCell ref="BL8:BL10"/>
    <mergeCell ref="AJ38:AK38"/>
    <mergeCell ref="AB38:AC38"/>
    <mergeCell ref="BN38:BO38"/>
    <mergeCell ref="AZ9:BA9"/>
    <mergeCell ref="AV38:AW38"/>
    <mergeCell ref="BP8:BQ9"/>
    <mergeCell ref="AZ38:BA38"/>
    <mergeCell ref="AV9:AW9"/>
    <mergeCell ref="BJ38:BK38"/>
    <mergeCell ref="BH38:BI38"/>
    <mergeCell ref="BF38:BG38"/>
    <mergeCell ref="BR8:BS9"/>
    <mergeCell ref="AR9:AS9"/>
    <mergeCell ref="AZ8:BA8"/>
    <mergeCell ref="AJ9:AK9"/>
    <mergeCell ref="AL9:AM9"/>
    <mergeCell ref="BD38:BE38"/>
    <mergeCell ref="BB38:BC38"/>
    <mergeCell ref="AL38:AM38"/>
  </mergeCells>
  <phoneticPr fontId="0" type="noConversion"/>
  <pageMargins left="0.78740157480314965" right="0.39370078740157483" top="0.78740157480314965" bottom="0.78740157480314965" header="0.51181102362204722" footer="0.51181102362204722"/>
  <pageSetup paperSize="9" scale="38" fitToWidth="10" orientation="landscape" r:id="rId1"/>
  <headerFooter alignWithMargins="0">
    <oddFooter>&amp;L&amp;P&amp;R&amp;Z&amp;F&amp;A</oddFooter>
  </headerFooter>
  <colBreaks count="7" manualBreakCount="7">
    <brk id="13" max="38" man="1"/>
    <brk id="25" max="38" man="1"/>
    <brk id="35" max="38" man="1"/>
    <brk id="45" max="38" man="1"/>
    <brk id="57" max="38" man="1"/>
    <brk id="71" max="38" man="1"/>
    <brk id="83"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1"/>
  <sheetViews>
    <sheetView topLeftCell="A2" zoomScale="90" zoomScaleNormal="90" workbookViewId="0">
      <pane xSplit="1" ySplit="5" topLeftCell="B57" activePane="bottomRight" state="frozen"/>
      <selection activeCell="D27" sqref="D27"/>
      <selection pane="topRight" activeCell="D27" sqref="D27"/>
      <selection pane="bottomLeft" activeCell="D27" sqref="D27"/>
      <selection pane="bottomRight" activeCell="C25" sqref="C25"/>
    </sheetView>
  </sheetViews>
  <sheetFormatPr defaultColWidth="9.21875" defaultRowHeight="13.2" x14ac:dyDescent="0.25"/>
  <cols>
    <col min="1" max="1" width="80.77734375" style="365" customWidth="1"/>
    <col min="2" max="2" width="16.77734375" style="347" customWidth="1"/>
    <col min="3" max="3" width="16.5546875" style="347" customWidth="1"/>
    <col min="4" max="16384" width="9.21875" style="347"/>
  </cols>
  <sheetData>
    <row r="2" spans="1:3" ht="13.8" x14ac:dyDescent="0.25">
      <c r="A2" s="1735" t="s">
        <v>390</v>
      </c>
      <c r="B2" s="1735"/>
      <c r="C2" s="1735"/>
    </row>
    <row r="3" spans="1:3" ht="13.8" x14ac:dyDescent="0.25">
      <c r="A3" s="1736" t="str">
        <f>'Федеральные  средства  по  МО'!G3</f>
        <v>ПО  СОСТОЯНИЮ  НА  1  ОКТЯБРЯ  2019  ГОДА</v>
      </c>
      <c r="B3" s="1736"/>
      <c r="C3" s="1736"/>
    </row>
    <row r="4" spans="1:3" ht="13.8" x14ac:dyDescent="0.25">
      <c r="A4" s="478"/>
      <c r="B4" s="478"/>
      <c r="C4" s="478"/>
    </row>
    <row r="5" spans="1:3" ht="13.8" x14ac:dyDescent="0.25">
      <c r="C5" s="479" t="s">
        <v>2</v>
      </c>
    </row>
    <row r="6" spans="1:3" ht="13.8" x14ac:dyDescent="0.25">
      <c r="A6" s="161" t="s">
        <v>174</v>
      </c>
      <c r="B6" s="1168" t="s">
        <v>14</v>
      </c>
      <c r="C6" s="212" t="s">
        <v>4</v>
      </c>
    </row>
    <row r="7" spans="1:3" ht="13.8" x14ac:dyDescent="0.25">
      <c r="A7" s="161" t="s">
        <v>3</v>
      </c>
      <c r="B7" s="172"/>
      <c r="C7" s="212"/>
    </row>
    <row r="8" spans="1:3" ht="171.6" x14ac:dyDescent="0.25">
      <c r="A8" s="470" t="s">
        <v>609</v>
      </c>
      <c r="B8" s="480">
        <f>'Проверочная  таблица'!DX37/1000</f>
        <v>719.97180000000003</v>
      </c>
      <c r="C8" s="480">
        <f>'Проверочная  таблица'!EH36/1000</f>
        <v>0</v>
      </c>
    </row>
    <row r="9" spans="1:3" ht="118.8" x14ac:dyDescent="0.25">
      <c r="A9" s="470" t="s">
        <v>610</v>
      </c>
      <c r="B9" s="480">
        <f>'Проверочная  таблица'!DZ37/1000</f>
        <v>1842.3563999999999</v>
      </c>
      <c r="C9" s="480">
        <f>'Проверочная  таблица'!EF37/1000</f>
        <v>0</v>
      </c>
    </row>
    <row r="10" spans="1:3" s="365" customFormat="1" ht="145.19999999999999" x14ac:dyDescent="0.25">
      <c r="A10" s="470" t="s">
        <v>761</v>
      </c>
      <c r="B10" s="480">
        <f>'Проверочная  таблица'!FG37/1000</f>
        <v>21769.5</v>
      </c>
      <c r="C10" s="480">
        <f>'Проверочная  таблица'!FL37/1000</f>
        <v>2721.18</v>
      </c>
    </row>
    <row r="11" spans="1:3" ht="118.8" x14ac:dyDescent="0.25">
      <c r="A11" s="470" t="s">
        <v>765</v>
      </c>
      <c r="B11" s="480">
        <f>'Проверочная  таблица'!FI37/1000</f>
        <v>40000</v>
      </c>
      <c r="C11" s="480">
        <f>'Проверочная  таблица'!FN37/1000</f>
        <v>14000</v>
      </c>
    </row>
    <row r="12" spans="1:3" ht="105.6" x14ac:dyDescent="0.25">
      <c r="A12" s="470" t="s">
        <v>825</v>
      </c>
      <c r="B12" s="480">
        <f>'Проверочная  таблица'!HA37/1000</f>
        <v>0</v>
      </c>
      <c r="C12" s="480">
        <f>'Проверочная  таблица'!HD37/1000</f>
        <v>0</v>
      </c>
    </row>
    <row r="13" spans="1:3" ht="79.2" x14ac:dyDescent="0.25">
      <c r="A13" s="470" t="s">
        <v>826</v>
      </c>
      <c r="B13" s="480">
        <f>'Проверочная  таблица'!EU37/1000</f>
        <v>6020.7</v>
      </c>
      <c r="C13" s="480">
        <f>'Проверочная  таблица'!EX37/1000</f>
        <v>0</v>
      </c>
    </row>
    <row r="14" spans="1:3" ht="105.6" x14ac:dyDescent="0.25">
      <c r="A14" s="470" t="s">
        <v>827</v>
      </c>
      <c r="B14" s="480">
        <f>'Проверочная  таблица'!FQ37/1000</f>
        <v>361579.6</v>
      </c>
      <c r="C14" s="480">
        <f>'Проверочная  таблица'!FT37/1000</f>
        <v>30226.436699999998</v>
      </c>
    </row>
    <row r="15" spans="1:3" ht="66" x14ac:dyDescent="0.25">
      <c r="A15" s="470" t="s">
        <v>828</v>
      </c>
      <c r="B15" s="480">
        <f>'Проверочная  таблица'!KA37/1000</f>
        <v>282905</v>
      </c>
      <c r="C15" s="480">
        <f>'Проверочная  таблица'!KF37/1000</f>
        <v>162487.20379</v>
      </c>
    </row>
    <row r="16" spans="1:3" ht="66" x14ac:dyDescent="0.25">
      <c r="A16" s="470" t="s">
        <v>829</v>
      </c>
      <c r="B16" s="480">
        <f>'Проверочная  таблица'!KC37/1000</f>
        <v>41890.5</v>
      </c>
      <c r="C16" s="480">
        <f>'Проверочная  таблица'!KH37/1000</f>
        <v>6847.8891199999998</v>
      </c>
    </row>
    <row r="17" spans="1:3" ht="145.19999999999999" x14ac:dyDescent="0.25">
      <c r="A17" s="470" t="s">
        <v>830</v>
      </c>
      <c r="B17" s="480">
        <f>'Проверочная  таблица'!HG38/1000</f>
        <v>44458.8</v>
      </c>
      <c r="C17" s="480">
        <f>'Проверочная  таблица'!HP38/1000</f>
        <v>8044.6589599999998</v>
      </c>
    </row>
    <row r="18" spans="1:3" ht="92.4" x14ac:dyDescent="0.25">
      <c r="A18" s="470" t="s">
        <v>831</v>
      </c>
      <c r="B18" s="480">
        <f>'Проверочная  таблица'!HI38/1000</f>
        <v>342.49998999999997</v>
      </c>
      <c r="C18" s="480">
        <f>'Проверочная  таблица'!HR38/1000</f>
        <v>342.49998999999997</v>
      </c>
    </row>
    <row r="19" spans="1:3" ht="92.4" x14ac:dyDescent="0.25">
      <c r="A19" s="470" t="s">
        <v>832</v>
      </c>
      <c r="B19" s="480">
        <f>'Проверочная  таблица'!HK38/1000</f>
        <v>240.9</v>
      </c>
      <c r="C19" s="480">
        <f>'Проверочная  таблица'!HT38/1000</f>
        <v>240.9</v>
      </c>
    </row>
    <row r="20" spans="1:3" ht="79.2" x14ac:dyDescent="0.25">
      <c r="A20" s="470" t="s">
        <v>833</v>
      </c>
      <c r="B20" s="480">
        <f>'Проверочная  таблица'!GC38/1000</f>
        <v>18848.70004</v>
      </c>
      <c r="C20" s="480">
        <f>'Проверочная  таблица'!GF38/1000</f>
        <v>17937.970479999996</v>
      </c>
    </row>
    <row r="21" spans="1:3" ht="79.2" x14ac:dyDescent="0.25">
      <c r="A21" s="470" t="s">
        <v>834</v>
      </c>
      <c r="B21" s="480">
        <f>'Проверочная  таблица'!FW37/1000</f>
        <v>4379.1000000000004</v>
      </c>
      <c r="C21" s="480">
        <f>'Проверочная  таблица'!FZ37/1000</f>
        <v>3837.2180499999999</v>
      </c>
    </row>
    <row r="22" spans="1:3" ht="79.2" x14ac:dyDescent="0.25">
      <c r="A22" s="1392" t="s">
        <v>835</v>
      </c>
      <c r="B22" s="480">
        <f>'Проверочная  таблица'!HM38/1000</f>
        <v>0</v>
      </c>
      <c r="C22" s="480">
        <f>'Проверочная  таблица'!HV38/1000</f>
        <v>0</v>
      </c>
    </row>
    <row r="23" spans="1:3" ht="118.8" x14ac:dyDescent="0.25">
      <c r="A23" s="1392" t="s">
        <v>836</v>
      </c>
      <c r="B23" s="480">
        <f>'Проверочная  таблица'!NW37/1000</f>
        <v>0</v>
      </c>
      <c r="C23" s="480">
        <f>'Проверочная  таблица'!NZ37/1000</f>
        <v>0</v>
      </c>
    </row>
    <row r="24" spans="1:3" ht="145.19999999999999" x14ac:dyDescent="0.25">
      <c r="A24" s="465" t="s">
        <v>852</v>
      </c>
      <c r="B24" s="480">
        <f>'Проверочная  таблица'!FA38/1000</f>
        <v>0</v>
      </c>
      <c r="C24" s="480">
        <f>'Проверочная  таблица'!FD38/1000</f>
        <v>0</v>
      </c>
    </row>
    <row r="25" spans="1:3" ht="145.19999999999999" x14ac:dyDescent="0.25">
      <c r="A25" s="470" t="s">
        <v>837</v>
      </c>
      <c r="B25" s="480">
        <f>('Проверочная  таблица'!DE38)/1000</f>
        <v>326102.87309000001</v>
      </c>
      <c r="C25" s="480">
        <f>('Проверочная  таблица'!DF38)/1000</f>
        <v>115229.04046999999</v>
      </c>
    </row>
    <row r="26" spans="1:3" ht="184.8" x14ac:dyDescent="0.25">
      <c r="A26" s="470" t="s">
        <v>838</v>
      </c>
      <c r="B26" s="480">
        <f>'Проверочная  таблица'!KL37/1000</f>
        <v>60260.1</v>
      </c>
      <c r="C26" s="480">
        <f>'Проверочная  таблица'!KR37/1000</f>
        <v>27931.487989999998</v>
      </c>
    </row>
    <row r="27" spans="1:3" ht="184.8" x14ac:dyDescent="0.25">
      <c r="A27" s="1392" t="s">
        <v>839</v>
      </c>
      <c r="B27" s="480">
        <f>'Проверочная  таблица'!KX37/1000</f>
        <v>0</v>
      </c>
      <c r="C27" s="480">
        <f>'Проверочная  таблица'!LB37/1000</f>
        <v>0</v>
      </c>
    </row>
    <row r="28" spans="1:3" ht="184.8" x14ac:dyDescent="0.25">
      <c r="A28" s="470" t="s">
        <v>840</v>
      </c>
      <c r="B28" s="480">
        <f>'Проверочная  таблица'!KN37/1000</f>
        <v>91702.7</v>
      </c>
      <c r="C28" s="480">
        <f>'Проверочная  таблица'!KT37/1000</f>
        <v>0</v>
      </c>
    </row>
    <row r="29" spans="1:3" ht="105.6" x14ac:dyDescent="0.25">
      <c r="A29" s="470" t="s">
        <v>841</v>
      </c>
      <c r="B29" s="480">
        <f>'Проверочная  таблица'!NE37/1000</f>
        <v>1688.8</v>
      </c>
      <c r="C29" s="480">
        <f>'Проверочная  таблица'!NH37/1000</f>
        <v>1396.78619</v>
      </c>
    </row>
    <row r="30" spans="1:3" ht="105.6" x14ac:dyDescent="0.25">
      <c r="A30" s="470" t="s">
        <v>842</v>
      </c>
      <c r="B30" s="480">
        <f>'Проверочная  таблица'!PI37/1000</f>
        <v>29278.5</v>
      </c>
      <c r="C30" s="480">
        <f>'Проверочная  таблица'!PR37/1000</f>
        <v>24268.28816</v>
      </c>
    </row>
    <row r="31" spans="1:3" ht="92.4" x14ac:dyDescent="0.25">
      <c r="A31" s="470" t="s">
        <v>843</v>
      </c>
      <c r="B31" s="480">
        <f>'Проверочная  таблица'!OU38/1000</f>
        <v>7879.4347299999999</v>
      </c>
      <c r="C31" s="480">
        <f>'Проверочная  таблица'!PB38/1000</f>
        <v>3216.2309599999999</v>
      </c>
    </row>
    <row r="32" spans="1:3" ht="145.19999999999999" x14ac:dyDescent="0.25">
      <c r="A32" s="470" t="s">
        <v>844</v>
      </c>
      <c r="B32" s="480">
        <f>'Проверочная  таблица'!OY38/1000</f>
        <v>41400.687959999996</v>
      </c>
      <c r="C32" s="480">
        <f>'Проверочная  таблица'!PF38/1000</f>
        <v>14824.7608</v>
      </c>
    </row>
    <row r="33" spans="1:3" ht="118.8" x14ac:dyDescent="0.25">
      <c r="A33" s="470" t="s">
        <v>845</v>
      </c>
      <c r="B33" s="480">
        <f>'Проверочная  таблица'!OW38/1000</f>
        <v>1466</v>
      </c>
      <c r="C33" s="480">
        <f>'Проверочная  таблица'!PD38/1000</f>
        <v>0</v>
      </c>
    </row>
    <row r="34" spans="1:3" ht="118.8" x14ac:dyDescent="0.25">
      <c r="A34" s="470" t="s">
        <v>846</v>
      </c>
      <c r="B34" s="480">
        <f>'Проверочная  таблица'!LI38/1000</f>
        <v>103546.3</v>
      </c>
      <c r="C34" s="480">
        <f>'Проверочная  таблица'!LP38/1000</f>
        <v>27880.830740000001</v>
      </c>
    </row>
    <row r="35" spans="1:3" ht="118.8" x14ac:dyDescent="0.25">
      <c r="A35" s="470" t="s">
        <v>847</v>
      </c>
      <c r="B35" s="480">
        <f>'Проверочная  таблица'!LK38/1000</f>
        <v>243200</v>
      </c>
      <c r="C35" s="480">
        <f>'Проверочная  таблица'!LR38/1000</f>
        <v>71362.238319999989</v>
      </c>
    </row>
    <row r="36" spans="1:3" ht="132" x14ac:dyDescent="0.25">
      <c r="A36" s="470" t="s">
        <v>848</v>
      </c>
      <c r="B36" s="480">
        <f>'Проверочная  таблица'!LM37/1000</f>
        <v>5.2</v>
      </c>
      <c r="C36" s="480">
        <f>'Проверочная  таблица'!LT37/1000</f>
        <v>0</v>
      </c>
    </row>
    <row r="37" spans="1:3" ht="15.6" x14ac:dyDescent="0.25">
      <c r="A37" s="470"/>
      <c r="B37" s="480"/>
      <c r="C37" s="480"/>
    </row>
    <row r="38" spans="1:3" ht="15.6" x14ac:dyDescent="0.25">
      <c r="A38" s="189" t="s">
        <v>173</v>
      </c>
      <c r="B38" s="481">
        <f>SUM(B7:B37)</f>
        <v>1731528.2240100002</v>
      </c>
      <c r="C38" s="481">
        <f>SUM(C7:C37)</f>
        <v>532795.62072000001</v>
      </c>
    </row>
    <row r="39" spans="1:3" ht="15.6" x14ac:dyDescent="0.25">
      <c r="A39" s="162"/>
      <c r="B39" s="480"/>
      <c r="C39" s="480"/>
    </row>
    <row r="40" spans="1:3" ht="15.6" x14ac:dyDescent="0.25">
      <c r="A40" s="161" t="s">
        <v>170</v>
      </c>
      <c r="B40" s="480"/>
      <c r="C40" s="480"/>
    </row>
    <row r="41" spans="1:3" ht="105.6" x14ac:dyDescent="0.25">
      <c r="A41" s="470" t="s">
        <v>236</v>
      </c>
      <c r="B41" s="480">
        <f>'Проверочная  таблица'!SI37/1000</f>
        <v>50430</v>
      </c>
      <c r="C41" s="480">
        <f>'Проверочная  таблица'!SJ37/1000</f>
        <v>25219.7474</v>
      </c>
    </row>
    <row r="42" spans="1:3" ht="79.2" x14ac:dyDescent="0.25">
      <c r="A42" s="470" t="s">
        <v>358</v>
      </c>
      <c r="B42" s="480">
        <f>'Проверочная  таблица'!SK37/1000</f>
        <v>7955.5</v>
      </c>
      <c r="C42" s="480">
        <f>'Проверочная  таблица'!SL37/1000</f>
        <v>3575.4479999999999</v>
      </c>
    </row>
    <row r="43" spans="1:3" ht="92.4" x14ac:dyDescent="0.25">
      <c r="A43" s="470" t="s">
        <v>374</v>
      </c>
      <c r="B43" s="480">
        <f>'Проверочная  таблица'!SM37/1000</f>
        <v>14072.9</v>
      </c>
      <c r="C43" s="480">
        <f>'Проверочная  таблица'!SN37/1000</f>
        <v>11578.2</v>
      </c>
    </row>
    <row r="44" spans="1:3" ht="92.4" x14ac:dyDescent="0.25">
      <c r="A44" s="470" t="s">
        <v>786</v>
      </c>
      <c r="B44" s="480">
        <f>'Проверочная  таблица'!SS37/1000</f>
        <v>64675.231</v>
      </c>
      <c r="C44" s="480">
        <f>'Проверочная  таблица'!SV37/1000</f>
        <v>45353.826070000003</v>
      </c>
    </row>
    <row r="45" spans="1:3" ht="52.8" x14ac:dyDescent="0.25">
      <c r="A45" s="470" t="s">
        <v>787</v>
      </c>
      <c r="B45" s="480">
        <f>'Проверочная  таблица'!SE37/1000</f>
        <v>27501.5</v>
      </c>
      <c r="C45" s="480">
        <f>'Проверочная  таблица'!SF37/1000</f>
        <v>17901.519810000002</v>
      </c>
    </row>
    <row r="46" spans="1:3" ht="66" x14ac:dyDescent="0.25">
      <c r="A46" s="470" t="s">
        <v>788</v>
      </c>
      <c r="B46" s="480">
        <f>'Проверочная  таблица'!SG37/1000</f>
        <v>139.19999999999999</v>
      </c>
      <c r="C46" s="480">
        <f>'Проверочная  таблица'!SH37/1000</f>
        <v>111.97199999999999</v>
      </c>
    </row>
    <row r="47" spans="1:3" ht="15.6" x14ac:dyDescent="0.25">
      <c r="A47" s="189" t="s">
        <v>173</v>
      </c>
      <c r="B47" s="481">
        <f>SUM(B41:B46)</f>
        <v>164774.33100000001</v>
      </c>
      <c r="C47" s="481">
        <f>SUM(C41:C46)</f>
        <v>103740.71328</v>
      </c>
    </row>
    <row r="48" spans="1:3" ht="15.6" x14ac:dyDescent="0.25">
      <c r="A48" s="470"/>
      <c r="B48" s="480"/>
      <c r="C48" s="480"/>
    </row>
    <row r="49" spans="1:3" ht="15.6" x14ac:dyDescent="0.25">
      <c r="A49" s="161" t="s">
        <v>138</v>
      </c>
      <c r="B49" s="480"/>
      <c r="C49" s="480"/>
    </row>
    <row r="50" spans="1:3" ht="79.2" x14ac:dyDescent="0.25">
      <c r="A50" s="469" t="s">
        <v>539</v>
      </c>
      <c r="B50" s="480">
        <f>'Проверочная  таблица'!UU37/1000</f>
        <v>0</v>
      </c>
      <c r="C50" s="480">
        <f>'Проверочная  таблица'!UX37/1000</f>
        <v>0</v>
      </c>
    </row>
    <row r="51" spans="1:3" ht="105.6" x14ac:dyDescent="0.25">
      <c r="A51" s="469" t="s">
        <v>719</v>
      </c>
      <c r="B51" s="480">
        <f>'Проверочная  таблица'!TC37/1000</f>
        <v>91595.4</v>
      </c>
      <c r="C51" s="480">
        <f>'Проверочная  таблица'!TL37/1000</f>
        <v>68617.677549999993</v>
      </c>
    </row>
    <row r="52" spans="1:3" ht="105.6" x14ac:dyDescent="0.25">
      <c r="A52" s="470" t="s">
        <v>718</v>
      </c>
      <c r="B52" s="480">
        <f>'Проверочная  таблица'!TA37/1000</f>
        <v>202648.4</v>
      </c>
      <c r="C52" s="480">
        <f>'Проверочная  таблица'!TJ37/1000</f>
        <v>138881.35333000001</v>
      </c>
    </row>
    <row r="53" spans="1:3" ht="118.8" x14ac:dyDescent="0.25">
      <c r="A53" s="470" t="s">
        <v>816</v>
      </c>
      <c r="B53" s="480">
        <f>'Проверочная  таблица'!TE37/1000</f>
        <v>31810</v>
      </c>
      <c r="C53" s="480">
        <f>'Проверочная  таблица'!TN37/1000</f>
        <v>8251.4107499999991</v>
      </c>
    </row>
    <row r="54" spans="1:3" ht="79.2" x14ac:dyDescent="0.25">
      <c r="A54" s="470" t="s">
        <v>812</v>
      </c>
      <c r="B54" s="480">
        <f>'Проверочная  таблица'!TR38/1000</f>
        <v>190000</v>
      </c>
      <c r="C54" s="480">
        <f>'Проверочная  таблица'!TT38/1000</f>
        <v>140761.60676</v>
      </c>
    </row>
    <row r="55" spans="1:3" ht="132" x14ac:dyDescent="0.25">
      <c r="A55" s="470" t="s">
        <v>813</v>
      </c>
      <c r="B55" s="480">
        <f>'Проверочная  таблица'!UD38/1000</f>
        <v>0</v>
      </c>
      <c r="C55" s="480">
        <f>'Проверочная  таблица'!UG38/1000</f>
        <v>0</v>
      </c>
    </row>
    <row r="56" spans="1:3" ht="118.8" x14ac:dyDescent="0.25">
      <c r="A56" s="470" t="s">
        <v>814</v>
      </c>
      <c r="B56" s="480">
        <f>'Проверочная  таблица'!UE38/1000</f>
        <v>580000</v>
      </c>
      <c r="C56" s="480">
        <f>'Проверочная  таблица'!UH38/1000</f>
        <v>411530.50302999996</v>
      </c>
    </row>
    <row r="57" spans="1:3" ht="15.6" x14ac:dyDescent="0.25">
      <c r="A57" s="161"/>
      <c r="B57" s="480"/>
      <c r="C57" s="480"/>
    </row>
    <row r="58" spans="1:3" ht="15.6" x14ac:dyDescent="0.25">
      <c r="A58" s="189" t="s">
        <v>173</v>
      </c>
      <c r="B58" s="481">
        <f>SUM(B50:B57)</f>
        <v>1096053.8</v>
      </c>
      <c r="C58" s="481">
        <f>SUM(C50:C57)</f>
        <v>768042.55141999992</v>
      </c>
    </row>
    <row r="59" spans="1:3" ht="15.6" x14ac:dyDescent="0.25">
      <c r="A59" s="470"/>
      <c r="B59" s="480"/>
      <c r="C59" s="480"/>
    </row>
    <row r="60" spans="1:3" ht="15.6" x14ac:dyDescent="0.25">
      <c r="A60" s="470"/>
      <c r="B60" s="480"/>
      <c r="C60" s="480"/>
    </row>
    <row r="61" spans="1:3" ht="15.6" x14ac:dyDescent="0.25">
      <c r="A61" s="146" t="s">
        <v>148</v>
      </c>
      <c r="B61" s="482">
        <f>B47+B38+B58</f>
        <v>2992356.3550100001</v>
      </c>
      <c r="C61" s="482">
        <f>C47+C38+C58</f>
        <v>1404578.8854199999</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74" fitToHeight="5"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activeCell="D27" sqref="D27"/>
      <selection pane="topRight" activeCell="D27" sqref="D27"/>
      <selection pane="bottomLeft" activeCell="D27" sqref="D27"/>
      <selection pane="bottomRight" activeCell="G19" sqref="G19"/>
    </sheetView>
  </sheetViews>
  <sheetFormatPr defaultColWidth="8.77734375" defaultRowHeight="13.2" x14ac:dyDescent="0.25"/>
  <cols>
    <col min="1" max="1" width="19.21875" style="347" customWidth="1"/>
    <col min="2" max="3" width="21.5546875" style="347" bestFit="1" customWidth="1"/>
    <col min="4" max="4" width="20.44140625" style="347" customWidth="1"/>
    <col min="5" max="5" width="19.5546875" style="347" bestFit="1" customWidth="1"/>
    <col min="6" max="7" width="21.5546875" style="347" bestFit="1" customWidth="1"/>
    <col min="8" max="8" width="19.77734375" style="347" customWidth="1"/>
    <col min="9" max="9" width="18.5546875" style="347" bestFit="1" customWidth="1"/>
    <col min="10" max="16384" width="8.77734375" style="347"/>
  </cols>
  <sheetData>
    <row r="2" spans="1:9" ht="15.6" x14ac:dyDescent="0.25">
      <c r="A2" s="1741" t="s">
        <v>389</v>
      </c>
      <c r="B2" s="1741"/>
      <c r="C2" s="1741"/>
      <c r="D2" s="1741"/>
      <c r="E2" s="1741"/>
      <c r="F2" s="1741"/>
      <c r="G2" s="1741"/>
      <c r="H2" s="1741"/>
      <c r="I2" s="1741"/>
    </row>
    <row r="3" spans="1:9" ht="15.6" x14ac:dyDescent="0.25">
      <c r="A3" s="1742" t="str">
        <f>'Район  и  поселения'!E3</f>
        <v>ПО  СОСТОЯНИЮ  НА  1  ОКТЯБРЯ  2019  ГОДА</v>
      </c>
      <c r="B3" s="1742"/>
      <c r="C3" s="1742"/>
      <c r="D3" s="1742"/>
      <c r="E3" s="1742"/>
      <c r="F3" s="1742"/>
      <c r="G3" s="1742"/>
      <c r="H3" s="1742"/>
      <c r="I3" s="1742"/>
    </row>
    <row r="5" spans="1:9" x14ac:dyDescent="0.25">
      <c r="H5" s="347" t="s">
        <v>22</v>
      </c>
    </row>
    <row r="6" spans="1:9" x14ac:dyDescent="0.25">
      <c r="A6" s="1743" t="s">
        <v>174</v>
      </c>
      <c r="B6" s="1737" t="s">
        <v>14</v>
      </c>
      <c r="C6" s="1738"/>
      <c r="D6" s="1738"/>
      <c r="E6" s="1739"/>
      <c r="F6" s="1737" t="s">
        <v>15</v>
      </c>
      <c r="G6" s="1738"/>
      <c r="H6" s="1738"/>
      <c r="I6" s="1739"/>
    </row>
    <row r="7" spans="1:9" x14ac:dyDescent="0.25">
      <c r="A7" s="1743"/>
      <c r="B7" s="1743" t="s">
        <v>1</v>
      </c>
      <c r="C7" s="1740" t="s">
        <v>45</v>
      </c>
      <c r="D7" s="1740"/>
      <c r="E7" s="1740"/>
      <c r="F7" s="1740" t="s">
        <v>1</v>
      </c>
      <c r="G7" s="1740" t="s">
        <v>45</v>
      </c>
      <c r="H7" s="1740"/>
      <c r="I7" s="1740"/>
    </row>
    <row r="8" spans="1:9" x14ac:dyDescent="0.25">
      <c r="A8" s="1743"/>
      <c r="B8" s="1743"/>
      <c r="C8" s="1744" t="s">
        <v>27</v>
      </c>
      <c r="D8" s="169" t="s">
        <v>107</v>
      </c>
      <c r="E8" s="1744" t="s">
        <v>28</v>
      </c>
      <c r="F8" s="1740"/>
      <c r="G8" s="1744" t="s">
        <v>27</v>
      </c>
      <c r="H8" s="169" t="s">
        <v>107</v>
      </c>
      <c r="I8" s="1744" t="s">
        <v>28</v>
      </c>
    </row>
    <row r="9" spans="1:9" ht="45.6" customHeight="1" x14ac:dyDescent="0.25">
      <c r="A9" s="1743"/>
      <c r="B9" s="1743"/>
      <c r="C9" s="1745"/>
      <c r="D9" s="169" t="s">
        <v>66</v>
      </c>
      <c r="E9" s="1745"/>
      <c r="F9" s="1740"/>
      <c r="G9" s="1745"/>
      <c r="H9" s="169" t="s">
        <v>66</v>
      </c>
      <c r="I9" s="1745"/>
    </row>
    <row r="10" spans="1:9" ht="13.8" x14ac:dyDescent="0.25">
      <c r="A10" s="173"/>
      <c r="B10" s="348"/>
      <c r="C10" s="348"/>
      <c r="D10" s="348"/>
      <c r="E10" s="348"/>
      <c r="F10" s="348"/>
      <c r="G10" s="348"/>
      <c r="H10" s="348"/>
      <c r="I10" s="348"/>
    </row>
    <row r="11" spans="1:9" ht="92.4" x14ac:dyDescent="0.25">
      <c r="A11" s="170" t="s">
        <v>29</v>
      </c>
      <c r="B11" s="428">
        <f>'[2]Исполнение  по  дотации'!$B$38*1000</f>
        <v>2754734500</v>
      </c>
      <c r="C11" s="428">
        <f>'[2]Исполнение  по  дотации'!$B$40*1000</f>
        <v>2754734500</v>
      </c>
      <c r="D11" s="428"/>
      <c r="E11" s="428">
        <f>'[2]Исполнение  по  дотации'!$B$41*1000</f>
        <v>0</v>
      </c>
      <c r="F11" s="428">
        <f>'[2]Исполнение  по  дотации'!$E$38*1000</f>
        <v>2216968843.52</v>
      </c>
      <c r="G11" s="428">
        <f>'[2]Исполнение  по  дотации'!$E$40*1000</f>
        <v>2216968843.52</v>
      </c>
      <c r="H11" s="428"/>
      <c r="I11" s="428">
        <f>'[2]Исполнение  по  дотации'!$E$41*1000</f>
        <v>0</v>
      </c>
    </row>
    <row r="12" spans="1:9" ht="13.8" x14ac:dyDescent="0.25">
      <c r="A12" s="170"/>
      <c r="B12" s="428"/>
      <c r="C12" s="428"/>
      <c r="D12" s="428"/>
      <c r="E12" s="428"/>
      <c r="F12" s="428"/>
      <c r="G12" s="428"/>
      <c r="H12" s="428"/>
      <c r="I12" s="428"/>
    </row>
    <row r="13" spans="1:9" ht="118.8" x14ac:dyDescent="0.25">
      <c r="A13" s="170" t="s">
        <v>30</v>
      </c>
      <c r="B13" s="428">
        <f>'[2]Исполнение  по  субсидии'!$B$39*1000</f>
        <v>7503927241.4800005</v>
      </c>
      <c r="C13" s="428">
        <f>'[2]Исполнение  по  субсидии'!$B$44*1000</f>
        <v>7133927241.4800005</v>
      </c>
      <c r="D13" s="428">
        <f>'[2]Исполнение  по  субсидии'!$B$41*1000</f>
        <v>1731528224.01</v>
      </c>
      <c r="E13" s="428">
        <f>'[2]Исполнение  по  субсидии'!$B$45*1000</f>
        <v>370000000.00000006</v>
      </c>
      <c r="F13" s="428">
        <f>'[2]Исполнение  по  субсидии'!$C$39*1000</f>
        <v>4422866173.8399992</v>
      </c>
      <c r="G13" s="428">
        <f>'[2]Исполнение  по  субсидии'!$C$44*1000</f>
        <v>4052866173.8399992</v>
      </c>
      <c r="H13" s="428">
        <f>'[2]Исполнение  по  субсидии'!$C$41*1000</f>
        <v>532795620.71999991</v>
      </c>
      <c r="I13" s="428">
        <f>'[2]Исполнение  по  субсидии'!$C$45*1000</f>
        <v>370000000.00000006</v>
      </c>
    </row>
    <row r="14" spans="1:9" ht="13.8" x14ac:dyDescent="0.25">
      <c r="A14" s="170"/>
      <c r="B14" s="428"/>
      <c r="C14" s="428"/>
      <c r="D14" s="428"/>
      <c r="E14" s="428"/>
      <c r="F14" s="428"/>
      <c r="G14" s="428"/>
      <c r="H14" s="428"/>
      <c r="I14" s="428"/>
    </row>
    <row r="15" spans="1:9" ht="92.4" x14ac:dyDescent="0.25">
      <c r="A15" s="170" t="s">
        <v>31</v>
      </c>
      <c r="B15" s="428">
        <f>'[2]Исполнение  по  субвенции'!$B$39*1000</f>
        <v>10670853031</v>
      </c>
      <c r="C15" s="428">
        <f>'[2]Исполнение  по  субвенции'!$B$44*1000</f>
        <v>10532750900</v>
      </c>
      <c r="D15" s="428">
        <f>'[2]Исполнение  по  субвенции'!$B$41*1000</f>
        <v>164774331</v>
      </c>
      <c r="E15" s="428">
        <f>'[2]Исполнение  по  субвенции'!$B$45*1000</f>
        <v>138102131</v>
      </c>
      <c r="F15" s="428">
        <f>'[2]Исполнение  по  субвенции'!$G$39*1000</f>
        <v>8224728440.4099989</v>
      </c>
      <c r="G15" s="428">
        <f>'[2]Исполнение  по  субвенции'!$G$44*1000</f>
        <v>8119242672.5299988</v>
      </c>
      <c r="H15" s="428">
        <f>'[2]Исполнение  по  субвенции'!$G$41*1000</f>
        <v>103740713.28</v>
      </c>
      <c r="I15" s="428">
        <f>'[2]Исполнение  по  субвенции'!$G$45*1000</f>
        <v>105485767.88000001</v>
      </c>
    </row>
    <row r="16" spans="1:9" ht="13.8" x14ac:dyDescent="0.25">
      <c r="A16" s="170"/>
      <c r="B16" s="428"/>
      <c r="C16" s="428"/>
      <c r="D16" s="428"/>
      <c r="E16" s="428"/>
      <c r="F16" s="428"/>
      <c r="G16" s="428"/>
      <c r="H16" s="428"/>
      <c r="I16" s="428"/>
    </row>
    <row r="17" spans="1:9" ht="39.6" x14ac:dyDescent="0.25">
      <c r="A17" s="170" t="s">
        <v>32</v>
      </c>
      <c r="B17" s="428">
        <f>'[2]Исполнение  по  иным  МБТ'!$B$37*1000</f>
        <v>1362852491.05</v>
      </c>
      <c r="C17" s="428">
        <f>'[2]Исполнение  по  иным  МБТ'!$B$42*1000</f>
        <v>1362852491.05</v>
      </c>
      <c r="D17" s="428">
        <f>'[2]Исполнение  по  иным  МБТ'!$B$39*1000</f>
        <v>1096053800</v>
      </c>
      <c r="E17" s="428">
        <f>'[2]Исполнение  по  иным  МБТ'!$B$43*1000</f>
        <v>0</v>
      </c>
      <c r="F17" s="428">
        <f>'[2]Исполнение  по  иным  МБТ'!$G$37*1000</f>
        <v>867681407.14999998</v>
      </c>
      <c r="G17" s="428">
        <f>'[2]Исполнение  по  иным  МБТ'!$G$42*1000</f>
        <v>867681407.14999998</v>
      </c>
      <c r="H17" s="428">
        <f>'[2]Исполнение  по  иным  МБТ'!$G$39*1000</f>
        <v>768042551.41999996</v>
      </c>
      <c r="I17" s="428">
        <f>'[2]Исполнение  по  иным  МБТ'!$G$43*1000</f>
        <v>0</v>
      </c>
    </row>
    <row r="18" spans="1:9" ht="13.8" x14ac:dyDescent="0.25">
      <c r="A18" s="170"/>
      <c r="B18" s="428"/>
      <c r="C18" s="428"/>
      <c r="D18" s="428"/>
      <c r="E18" s="428"/>
      <c r="F18" s="428"/>
      <c r="G18" s="428"/>
      <c r="H18" s="428"/>
      <c r="I18" s="428"/>
    </row>
    <row r="19" spans="1:9" ht="13.8" x14ac:dyDescent="0.25">
      <c r="A19" s="349" t="s">
        <v>148</v>
      </c>
      <c r="B19" s="351">
        <f t="shared" ref="B19:I19" si="0">SUM(B11:B18)</f>
        <v>22292367263.529999</v>
      </c>
      <c r="C19" s="351">
        <f t="shared" si="0"/>
        <v>21784265132.529999</v>
      </c>
      <c r="D19" s="351">
        <f t="shared" si="0"/>
        <v>2992356355.0100002</v>
      </c>
      <c r="E19" s="351">
        <f t="shared" si="0"/>
        <v>508102131.00000006</v>
      </c>
      <c r="F19" s="351">
        <f t="shared" si="0"/>
        <v>15732244864.919996</v>
      </c>
      <c r="G19" s="351">
        <f t="shared" si="0"/>
        <v>15256759097.039997</v>
      </c>
      <c r="H19" s="351">
        <f t="shared" si="0"/>
        <v>1404578885.4199998</v>
      </c>
      <c r="I19" s="351">
        <f t="shared" si="0"/>
        <v>475485767.88000005</v>
      </c>
    </row>
    <row r="20" spans="1:9" ht="13.8" x14ac:dyDescent="0.25">
      <c r="A20" s="353" t="s">
        <v>45</v>
      </c>
      <c r="B20" s="354"/>
      <c r="C20" s="354"/>
      <c r="D20" s="354"/>
      <c r="E20" s="354"/>
      <c r="F20" s="354"/>
      <c r="G20" s="354"/>
      <c r="H20" s="354"/>
      <c r="I20" s="354"/>
    </row>
    <row r="21" spans="1:9" ht="27.6" x14ac:dyDescent="0.25">
      <c r="A21" s="145" t="s">
        <v>83</v>
      </c>
      <c r="B21" s="730">
        <f t="shared" ref="B21:I21" si="1">B19-B11</f>
        <v>19537632763.529999</v>
      </c>
      <c r="C21" s="730">
        <f t="shared" si="1"/>
        <v>19029530632.529999</v>
      </c>
      <c r="D21" s="730">
        <f t="shared" si="1"/>
        <v>2992356355.0100002</v>
      </c>
      <c r="E21" s="730">
        <f t="shared" si="1"/>
        <v>508102131.00000006</v>
      </c>
      <c r="F21" s="730">
        <f t="shared" si="1"/>
        <v>13515276021.399996</v>
      </c>
      <c r="G21" s="730">
        <f t="shared" si="1"/>
        <v>13039790253.519997</v>
      </c>
      <c r="H21" s="730">
        <f t="shared" si="1"/>
        <v>1404578885.4199998</v>
      </c>
      <c r="I21" s="730">
        <f t="shared" si="1"/>
        <v>475485767.88000005</v>
      </c>
    </row>
    <row r="22" spans="1:9" s="352" customFormat="1" x14ac:dyDescent="0.25">
      <c r="B22" s="350">
        <f>B19-'Проверочная  таблица'!B37</f>
        <v>0</v>
      </c>
      <c r="C22" s="350">
        <f>B19-C19-E19</f>
        <v>0</v>
      </c>
      <c r="D22" s="350"/>
      <c r="F22" s="350">
        <f>F19-'Проверочная  таблица'!C37</f>
        <v>0</v>
      </c>
      <c r="G22" s="350">
        <f>F19-G19-I19</f>
        <v>-8.9406967163085938E-7</v>
      </c>
      <c r="H22" s="350"/>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H28"/>
  <sheetViews>
    <sheetView zoomScale="69" zoomScaleNormal="69" workbookViewId="0">
      <pane xSplit="1" ySplit="6" topLeftCell="B7" activePane="bottomRight" state="frozen"/>
      <selection activeCell="D27" sqref="D27"/>
      <selection pane="topRight" activeCell="D27" sqref="D27"/>
      <selection pane="bottomLeft" activeCell="D27" sqref="D27"/>
      <selection pane="bottomRight" activeCell="D27" sqref="D27"/>
    </sheetView>
  </sheetViews>
  <sheetFormatPr defaultColWidth="8.77734375" defaultRowHeight="13.2" x14ac:dyDescent="0.25"/>
  <cols>
    <col min="1" max="1" width="57.21875" style="347" customWidth="1"/>
    <col min="2" max="2" width="22.44140625" style="347" customWidth="1"/>
    <col min="3" max="4" width="21.77734375" style="347" customWidth="1"/>
    <col min="5" max="5" width="21.21875" style="347" customWidth="1"/>
    <col min="6" max="6" width="8.77734375" style="347"/>
    <col min="7" max="7" width="18.77734375" style="347" bestFit="1" customWidth="1"/>
    <col min="8" max="8" width="13.5546875" style="347" bestFit="1" customWidth="1"/>
    <col min="9" max="16384" width="8.77734375" style="347"/>
  </cols>
  <sheetData>
    <row r="2" spans="1:8" ht="15.6" x14ac:dyDescent="0.25">
      <c r="A2" s="1741" t="s">
        <v>389</v>
      </c>
      <c r="B2" s="1741"/>
      <c r="C2" s="1741"/>
      <c r="D2" s="1741"/>
      <c r="E2" s="1741"/>
    </row>
    <row r="3" spans="1:8" ht="15.6" x14ac:dyDescent="0.25">
      <c r="A3" s="1742" t="str">
        <f>'Район  и  поселения'!E3</f>
        <v>ПО  СОСТОЯНИЮ  НА  1  ОКТЯБРЯ  2019  ГОДА</v>
      </c>
      <c r="B3" s="1742"/>
      <c r="C3" s="1742"/>
      <c r="D3" s="1742"/>
      <c r="E3" s="1742"/>
    </row>
    <row r="5" spans="1:8" x14ac:dyDescent="0.25">
      <c r="D5" s="347" t="s">
        <v>22</v>
      </c>
    </row>
    <row r="6" spans="1:8" ht="26.4" x14ac:dyDescent="0.25">
      <c r="A6" s="174" t="s">
        <v>174</v>
      </c>
      <c r="B6" s="178" t="s">
        <v>14</v>
      </c>
      <c r="C6" s="178" t="s">
        <v>176</v>
      </c>
      <c r="D6" s="178" t="s">
        <v>4</v>
      </c>
      <c r="E6" s="178" t="s">
        <v>175</v>
      </c>
    </row>
    <row r="7" spans="1:8" ht="13.8" x14ac:dyDescent="0.25">
      <c r="A7" s="173"/>
      <c r="B7" s="173"/>
      <c r="C7" s="348"/>
      <c r="D7" s="348"/>
      <c r="E7" s="348"/>
    </row>
    <row r="8" spans="1:8" ht="26.4" x14ac:dyDescent="0.25">
      <c r="A8" s="360" t="s">
        <v>149</v>
      </c>
      <c r="B8" s="361">
        <f>C8+'Нераспределенная  дотация'!E15</f>
        <v>2761164500</v>
      </c>
      <c r="C8" s="429">
        <f>'[2]Исполнение  по  дотации'!$B$38*1000</f>
        <v>2754734500</v>
      </c>
      <c r="D8" s="429">
        <f>'[2]Исполнение  по  дотации'!$E$38*1000</f>
        <v>2216968843.52</v>
      </c>
      <c r="E8" s="361">
        <f>B8-C8</f>
        <v>6430000</v>
      </c>
    </row>
    <row r="9" spans="1:8" s="364" customFormat="1" ht="13.8" x14ac:dyDescent="0.25">
      <c r="A9" s="362" t="s">
        <v>45</v>
      </c>
      <c r="B9" s="363">
        <f>B8-B10-B11</f>
        <v>0</v>
      </c>
      <c r="C9" s="363">
        <f t="shared" ref="C9:E9" si="0">C8-C10-C11</f>
        <v>0</v>
      </c>
      <c r="D9" s="363">
        <f t="shared" si="0"/>
        <v>0</v>
      </c>
      <c r="E9" s="363">
        <f t="shared" si="0"/>
        <v>0</v>
      </c>
    </row>
    <row r="10" spans="1:8" s="364" customFormat="1" ht="26.4" x14ac:dyDescent="0.25">
      <c r="A10" s="362" t="s">
        <v>157</v>
      </c>
      <c r="B10" s="363">
        <f>C10</f>
        <v>1788429900</v>
      </c>
      <c r="C10" s="363">
        <f>'Проверочная  таблица'!F38</f>
        <v>1788429900</v>
      </c>
      <c r="D10" s="363">
        <f>'Проверочная  таблица'!G38</f>
        <v>1462675193.0799999</v>
      </c>
      <c r="E10" s="363">
        <f>B10-C10</f>
        <v>0</v>
      </c>
    </row>
    <row r="11" spans="1:8" s="365" customFormat="1" ht="13.8" x14ac:dyDescent="0.25">
      <c r="A11" s="362" t="s">
        <v>158</v>
      </c>
      <c r="B11" s="363">
        <f>B8-B10</f>
        <v>972734600</v>
      </c>
      <c r="C11" s="363">
        <f>C8-C10</f>
        <v>966304600</v>
      </c>
      <c r="D11" s="363">
        <f>D8-D10</f>
        <v>754293650.44000006</v>
      </c>
      <c r="E11" s="363">
        <f>E8-E10</f>
        <v>6430000</v>
      </c>
    </row>
    <row r="12" spans="1:8" ht="13.8" x14ac:dyDescent="0.25">
      <c r="A12" s="170"/>
      <c r="B12" s="348"/>
      <c r="C12" s="348"/>
      <c r="D12" s="348"/>
      <c r="E12" s="348"/>
    </row>
    <row r="13" spans="1:8" ht="39.6" x14ac:dyDescent="0.25">
      <c r="A13" s="360" t="s">
        <v>152</v>
      </c>
      <c r="B13" s="361">
        <f>C13+'Нераспределенная  субсидия'!G461</f>
        <v>7841235979.75</v>
      </c>
      <c r="C13" s="429">
        <f>'[2]Исполнение  по  субсидии'!$B$39*1000</f>
        <v>7503927241.4800005</v>
      </c>
      <c r="D13" s="429">
        <f>'[2]Исполнение  по  субсидии'!$C$39*1000</f>
        <v>4422866173.8399992</v>
      </c>
      <c r="E13" s="361">
        <f>B13-C13</f>
        <v>337308738.2699995</v>
      </c>
    </row>
    <row r="14" spans="1:8" s="359" customFormat="1" ht="13.8" x14ac:dyDescent="0.25">
      <c r="A14" s="357" t="s">
        <v>45</v>
      </c>
      <c r="B14" s="363">
        <f>B13-B15-B16-B17</f>
        <v>0</v>
      </c>
      <c r="C14" s="363">
        <f t="shared" ref="C14:D14" si="1">C13-C15-C16-C17</f>
        <v>0</v>
      </c>
      <c r="D14" s="363">
        <f t="shared" si="1"/>
        <v>0</v>
      </c>
      <c r="E14" s="363">
        <f t="shared" ref="E14:E16" si="2">B14-C14</f>
        <v>0</v>
      </c>
      <c r="G14" s="347"/>
      <c r="H14" s="347"/>
    </row>
    <row r="15" spans="1:8" s="359" customFormat="1" ht="39.6" x14ac:dyDescent="0.25">
      <c r="A15" s="362" t="s">
        <v>159</v>
      </c>
      <c r="B15" s="363">
        <f>'Нераспределенная  субсидия'!D462</f>
        <v>3328273856.3499999</v>
      </c>
      <c r="C15" s="363">
        <f>'Нераспределенная  субсидия'!E462</f>
        <v>3271756901.5700002</v>
      </c>
      <c r="D15" s="363">
        <f>'Нераспределенная  субсидия'!F462</f>
        <v>2463984817.4099998</v>
      </c>
      <c r="E15" s="363">
        <f t="shared" si="2"/>
        <v>56516954.779999733</v>
      </c>
      <c r="G15" s="347"/>
      <c r="H15" s="347"/>
    </row>
    <row r="16" spans="1:8" ht="39.6" x14ac:dyDescent="0.25">
      <c r="A16" s="362" t="s">
        <v>160</v>
      </c>
      <c r="B16" s="363">
        <f>'Нераспределенная  субсидия'!D463</f>
        <v>2250079855.5999994</v>
      </c>
      <c r="C16" s="363">
        <f>'Нераспределенная  субсидия'!E463</f>
        <v>2024564993.3199999</v>
      </c>
      <c r="D16" s="363">
        <f>'Нераспределенная  субсидия'!F463</f>
        <v>751092724.69000018</v>
      </c>
      <c r="E16" s="363">
        <f t="shared" si="2"/>
        <v>225514862.27999949</v>
      </c>
    </row>
    <row r="17" spans="1:5" ht="13.8" x14ac:dyDescent="0.25">
      <c r="A17" s="362" t="s">
        <v>406</v>
      </c>
      <c r="B17" s="363">
        <f>'Нераспределенная  субсидия'!D464</f>
        <v>2262882267.8000002</v>
      </c>
      <c r="C17" s="363">
        <f>'Нераспределенная  субсидия'!E464</f>
        <v>2207605346.5900002</v>
      </c>
      <c r="D17" s="363">
        <f>'Нераспределенная  субсидия'!F464</f>
        <v>1207788631.7399998</v>
      </c>
      <c r="E17" s="363">
        <f>B17-C17</f>
        <v>55276921.210000038</v>
      </c>
    </row>
    <row r="18" spans="1:5" ht="13.8" x14ac:dyDescent="0.25">
      <c r="A18" s="170"/>
      <c r="B18" s="348"/>
      <c r="C18" s="348"/>
      <c r="D18" s="348"/>
      <c r="E18" s="348"/>
    </row>
    <row r="19" spans="1:5" ht="26.4" x14ac:dyDescent="0.25">
      <c r="A19" s="360" t="s">
        <v>153</v>
      </c>
      <c r="B19" s="361">
        <f>C19</f>
        <v>10670853031</v>
      </c>
      <c r="C19" s="429">
        <f>'[2]Исполнение  по  субвенции'!$B$39*1000</f>
        <v>10670853031</v>
      </c>
      <c r="D19" s="429">
        <f>'[2]Исполнение  по  субвенции'!$G$39*1000</f>
        <v>8224728440.4099989</v>
      </c>
      <c r="E19" s="361">
        <f>B19-C19</f>
        <v>0</v>
      </c>
    </row>
    <row r="20" spans="1:5" s="359" customFormat="1" ht="13.8" x14ac:dyDescent="0.25">
      <c r="A20" s="357" t="s">
        <v>45</v>
      </c>
      <c r="B20" s="358"/>
      <c r="C20" s="358"/>
      <c r="D20" s="358"/>
      <c r="E20" s="358"/>
    </row>
    <row r="21" spans="1:5" s="359" customFormat="1" ht="13.8" x14ac:dyDescent="0.25">
      <c r="A21" s="357" t="s">
        <v>155</v>
      </c>
      <c r="B21" s="358">
        <f>B19</f>
        <v>10670853031</v>
      </c>
      <c r="C21" s="358">
        <f>C19</f>
        <v>10670853031</v>
      </c>
      <c r="D21" s="358">
        <f>D19</f>
        <v>8224728440.4099989</v>
      </c>
      <c r="E21" s="358">
        <f>E19</f>
        <v>0</v>
      </c>
    </row>
    <row r="22" spans="1:5" ht="13.8" x14ac:dyDescent="0.25">
      <c r="A22" s="170"/>
      <c r="B22" s="348"/>
      <c r="C22" s="348"/>
      <c r="D22" s="348"/>
      <c r="E22" s="348"/>
    </row>
    <row r="23" spans="1:5" ht="13.8" x14ac:dyDescent="0.25">
      <c r="A23" s="360" t="s">
        <v>154</v>
      </c>
      <c r="B23" s="361">
        <f>C23+'Нераспределенные  иные  МБТ'!G37</f>
        <v>1463422491.05</v>
      </c>
      <c r="C23" s="429">
        <f>'[2]Исполнение  по  иным  МБТ'!$B$37*1000</f>
        <v>1362852491.05</v>
      </c>
      <c r="D23" s="429">
        <f>'[2]Исполнение  по  иным  МБТ'!$G$37*1000</f>
        <v>867681407.14999998</v>
      </c>
      <c r="E23" s="361">
        <f>B23-C23</f>
        <v>100570000</v>
      </c>
    </row>
    <row r="24" spans="1:5" s="359" customFormat="1" ht="13.8" x14ac:dyDescent="0.25">
      <c r="A24" s="357" t="s">
        <v>45</v>
      </c>
      <c r="B24" s="358"/>
      <c r="C24" s="358"/>
      <c r="D24" s="358"/>
      <c r="E24" s="358"/>
    </row>
    <row r="25" spans="1:5" s="359" customFormat="1" ht="13.8" x14ac:dyDescent="0.25">
      <c r="A25" s="357" t="s">
        <v>156</v>
      </c>
      <c r="B25" s="358">
        <f>B23</f>
        <v>1463422491.05</v>
      </c>
      <c r="C25" s="358">
        <f>C23</f>
        <v>1362852491.05</v>
      </c>
      <c r="D25" s="358">
        <f>D23</f>
        <v>867681407.14999998</v>
      </c>
      <c r="E25" s="358">
        <f>E23</f>
        <v>100570000</v>
      </c>
    </row>
    <row r="26" spans="1:5" ht="13.8" x14ac:dyDescent="0.25">
      <c r="A26" s="170"/>
      <c r="B26" s="348"/>
      <c r="C26" s="348"/>
      <c r="D26" s="348"/>
      <c r="E26" s="348"/>
    </row>
    <row r="27" spans="1:5" ht="13.8" x14ac:dyDescent="0.25">
      <c r="A27" s="349" t="s">
        <v>148</v>
      </c>
      <c r="B27" s="351">
        <f>B8+B13+B19+B23</f>
        <v>22736676001.799999</v>
      </c>
      <c r="C27" s="351">
        <f>C8+C13+C19+C23</f>
        <v>22292367263.529999</v>
      </c>
      <c r="D27" s="351">
        <f>D8+D13+D19+D23</f>
        <v>15732244864.919996</v>
      </c>
      <c r="E27" s="351">
        <f>E8+E13+E19+E23</f>
        <v>444308738.2699995</v>
      </c>
    </row>
    <row r="28" spans="1:5" s="352" customFormat="1" x14ac:dyDescent="0.25">
      <c r="C28" s="350">
        <f>C27-'Проверочная  таблица'!B37</f>
        <v>0</v>
      </c>
      <c r="D28" s="350">
        <f>D27-'Проверочная  таблица'!C37</f>
        <v>0</v>
      </c>
      <c r="E28" s="350">
        <f>E27-'Нераспределенная  дотация'!E21</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22</vt:i4>
      </vt:variant>
    </vt:vector>
  </HeadingPairs>
  <TitlesOfParts>
    <vt:vector size="36"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Нераспределенная  субсидия</vt:lpstr>
      <vt:lpstr>Нераспределенные  иные  МБТ</vt:lpstr>
      <vt:lpstr>субсидия  ВР 522</vt:lpstr>
      <vt:lpstr>Федеральная  субсидия</vt:lpstr>
      <vt:lpstr>'Нераспределенная  субсидия'!Заголовки_для_печати</vt:lpstr>
      <vt:lpstr>'Нераспределенные  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субсидия'!Область_печати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'Федеральная  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Владимировна</cp:lastModifiedBy>
  <cp:lastPrinted>2019-10-02T14:33:16Z</cp:lastPrinted>
  <dcterms:created xsi:type="dcterms:W3CDTF">2010-07-21T14:31:06Z</dcterms:created>
  <dcterms:modified xsi:type="dcterms:W3CDTF">2019-10-18T05:51:01Z</dcterms:modified>
</cp:coreProperties>
</file>